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075" windowHeight="10485" activeTab="1"/>
  </bookViews>
  <sheets>
    <sheet name="Rahavoog" sheetId="1" r:id="rId1"/>
    <sheet name="KOOND teg ala" sheetId="2" r:id="rId2"/>
    <sheet name="KOOND kuud" sheetId="3" r:id="rId3"/>
    <sheet name="adm066051" sheetId="4" r:id="rId4"/>
    <sheet name="gaas 04320" sheetId="5" r:id="rId5"/>
    <sheet name="Küte 043601" sheetId="6" r:id="rId6"/>
    <sheet name="küte 043602" sheetId="7" r:id="rId7"/>
    <sheet name="HV 052001" sheetId="8" r:id="rId8"/>
    <sheet name="HV 052003" sheetId="9" r:id="rId9"/>
    <sheet name="HV 052004" sheetId="10" r:id="rId10"/>
    <sheet name="JV 063001" sheetId="11" r:id="rId11"/>
    <sheet name="JV 063003" sheetId="12" r:id="rId12"/>
    <sheet name="JV 063004" sheetId="13" r:id="rId13"/>
    <sheet name="JV 063005" sheetId="14" r:id="rId14"/>
    <sheet name="JV 063006" sheetId="15" r:id="rId15"/>
    <sheet name="JV 063007" sheetId="16" r:id="rId16"/>
    <sheet name="El 064001" sheetId="17" r:id="rId17"/>
    <sheet name="EH 066011" sheetId="18" r:id="rId18"/>
    <sheet name="MT066013" sheetId="19" r:id="rId19"/>
    <sheet name="VORM" sheetId="20" r:id="rId20"/>
  </sheets>
  <definedNames>
    <definedName name="Prindiala" localSheetId="3">'adm066051'!$A$1:$T$93</definedName>
    <definedName name="Prindiala" localSheetId="4">'gaas 04320'!$A$1:$T$123</definedName>
    <definedName name="Prindiala" localSheetId="0">'Rahavoog'!$A$1:$N$36</definedName>
  </definedNames>
  <calcPr fullCalcOnLoad="1"/>
</workbook>
</file>

<file path=xl/comments12.xml><?xml version="1.0" encoding="utf-8"?>
<comments xmlns="http://schemas.openxmlformats.org/spreadsheetml/2006/main">
  <authors>
    <author>?</author>
  </authors>
  <commentList>
    <comment ref="P67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rauli lõpparve
</t>
        </r>
      </text>
    </comment>
  </commentList>
</comments>
</file>

<file path=xl/comments13.xml><?xml version="1.0" encoding="utf-8"?>
<comments xmlns="http://schemas.openxmlformats.org/spreadsheetml/2006/main">
  <authors>
    <author>?</author>
  </authors>
  <commentList>
    <comment ref="P67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rauli lõpparve
</t>
        </r>
      </text>
    </comment>
    <comment ref="T50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Pärispea pumplas osaliselt täiendava filtri mahakandmine </t>
        </r>
      </text>
    </comment>
  </commentList>
</comments>
</file>

<file path=xl/comments16.xml><?xml version="1.0" encoding="utf-8"?>
<comments xmlns="http://schemas.openxmlformats.org/spreadsheetml/2006/main">
  <authors>
    <author>?</author>
  </authors>
  <commentList>
    <comment ref="Q31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augusti ja septembri kuu elekter koos </t>
        </r>
      </text>
    </comment>
    <comment ref="S105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3 liitumislepingut 1 isik</t>
        </r>
      </text>
    </comment>
    <comment ref="T7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sisaldab liitumistasude amort 17372,52 krooni, arvutatakse 1 kord aastas</t>
        </r>
      </text>
    </comment>
    <comment ref="G10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2009 liitumistasude amort
</t>
        </r>
      </text>
    </comment>
  </commentList>
</comments>
</file>

<file path=xl/comments17.xml><?xml version="1.0" encoding="utf-8"?>
<comments xmlns="http://schemas.openxmlformats.org/spreadsheetml/2006/main">
  <authors>
    <author>?</author>
  </authors>
  <commentList>
    <comment ref="P67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rauli lõpparve
</t>
        </r>
      </text>
    </comment>
  </commentList>
</comments>
</file>

<file path=xl/comments18.xml><?xml version="1.0" encoding="utf-8"?>
<comments xmlns="http://schemas.openxmlformats.org/spreadsheetml/2006/main">
  <authors>
    <author>?</author>
  </authors>
  <commentList>
    <comment ref="L81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poolik kuu
</t>
        </r>
      </text>
    </comment>
    <comment ref="M80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üür nov2009-mai 2010
</t>
        </r>
      </text>
    </comment>
    <comment ref="M14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müügihinnast on jääkväärtus juba maha arvatud. OK</t>
        </r>
      </text>
    </comment>
    <comment ref="Q14" authorId="0">
      <text>
        <r>
          <rPr>
            <b/>
            <sz val="8"/>
            <rFont val="Tahoma"/>
            <family val="0"/>
          </rPr>
          <t> :
Laane 13-19:
Müük 155000, jääkväärtus 12853. Müügitulu 142147</t>
        </r>
      </text>
    </comment>
  </commentList>
</comments>
</file>

<file path=xl/comments19.xml><?xml version="1.0" encoding="utf-8"?>
<comments xmlns="http://schemas.openxmlformats.org/spreadsheetml/2006/main">
  <authors>
    <author>?</author>
  </authors>
  <commentList>
    <comment ref="S88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isikliku auto lasutamine tööl</t>
        </r>
      </text>
    </comment>
  </commentList>
</comments>
</file>

<file path=xl/comments2.xml><?xml version="1.0" encoding="utf-8"?>
<comments xmlns="http://schemas.openxmlformats.org/spreadsheetml/2006/main">
  <authors>
    <author>?</author>
  </authors>
  <commentList>
    <comment ref="N88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rauli lõpparve
</t>
        </r>
      </text>
    </comment>
  </commentList>
</comments>
</file>

<file path=xl/comments20.xml><?xml version="1.0" encoding="utf-8"?>
<comments xmlns="http://schemas.openxmlformats.org/spreadsheetml/2006/main">
  <authors>
    <author>?</author>
  </authors>
  <commentList>
    <comment ref="P67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rauli lõpparve
</t>
        </r>
      </text>
    </comment>
  </commentList>
</comments>
</file>

<file path=xl/comments4.xml><?xml version="1.0" encoding="utf-8"?>
<comments xmlns="http://schemas.openxmlformats.org/spreadsheetml/2006/main">
  <authors>
    <author>?</author>
  </authors>
  <commentList>
    <comment ref="T52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arvutite jääkväärtuse mahakandmine- põhivarast vikevahendiks kandmine
</t>
        </r>
      </text>
    </comment>
  </commentList>
</comments>
</file>

<file path=xl/comments5.xml><?xml version="1.0" encoding="utf-8"?>
<comments xmlns="http://schemas.openxmlformats.org/spreadsheetml/2006/main">
  <authors>
    <author>?</author>
  </authors>
  <commentList>
    <comment ref="P67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rauli lõpparve
</t>
        </r>
      </text>
    </comment>
  </commentList>
</comments>
</file>

<file path=xl/comments6.xml><?xml version="1.0" encoding="utf-8"?>
<comments xmlns="http://schemas.openxmlformats.org/spreadsheetml/2006/main">
  <authors>
    <author>?</author>
  </authors>
  <commentList>
    <comment ref="M68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Kasepuu koondamine ja puhk komp.
</t>
        </r>
      </text>
    </comment>
  </commentList>
</comments>
</file>

<file path=xl/comments7.xml><?xml version="1.0" encoding="utf-8"?>
<comments xmlns="http://schemas.openxmlformats.org/spreadsheetml/2006/main">
  <authors>
    <author>?</author>
  </authors>
  <commentList>
    <comment ref="O21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sisaldab L.Ojakäär lõpparvet ja koondamist
Palgal 2 kütjat.</t>
        </r>
      </text>
    </comment>
    <comment ref="T82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kasutatud valdavalt tasuta kütust
</t>
        </r>
      </text>
    </comment>
  </commentList>
</comments>
</file>

<file path=xl/comments8.xml><?xml version="1.0" encoding="utf-8"?>
<comments xmlns="http://schemas.openxmlformats.org/spreadsheetml/2006/main">
  <authors>
    <author>?</author>
  </authors>
  <commentList>
    <comment ref="S28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kontol uurimistööd 30 000 kalkulatsioon veevärgile</t>
        </r>
      </text>
    </comment>
    <comment ref="T7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s.h. Liitumistasude amort 32159,48 EEK
</t>
        </r>
      </text>
    </comment>
  </commentList>
</comments>
</file>

<file path=xl/sharedStrings.xml><?xml version="1.0" encoding="utf-8"?>
<sst xmlns="http://schemas.openxmlformats.org/spreadsheetml/2006/main" count="6271" uniqueCount="277">
  <si>
    <t>Täitmine   2008 Kokku aasta</t>
  </si>
  <si>
    <t>Täitmine   2009  Kokku aasta</t>
  </si>
  <si>
    <t>EA 2010a Kokku aasta</t>
  </si>
  <si>
    <t>3</t>
  </si>
  <si>
    <t/>
  </si>
  <si>
    <t>Tegevustulud</t>
  </si>
  <si>
    <t>2</t>
  </si>
  <si>
    <t>Kaupade ja teenuste müük</t>
  </si>
  <si>
    <t>Tulu majandustegevusest</t>
  </si>
  <si>
    <t>KOGUS MWh</t>
  </si>
  <si>
    <t>5</t>
  </si>
  <si>
    <t>Elamu- ja kommunaaltegevuse tulud</t>
  </si>
  <si>
    <t>Saadud toetused</t>
  </si>
  <si>
    <t>0</t>
  </si>
  <si>
    <t>Saadud sihtfinantseerimine</t>
  </si>
  <si>
    <t>Saadud sihtfinantseerimine tegevuskuludeks</t>
  </si>
  <si>
    <t>1</t>
  </si>
  <si>
    <t>Põhivara soetamiseks saadud siht fin amort.</t>
  </si>
  <si>
    <t>8</t>
  </si>
  <si>
    <t>Muud tulud</t>
  </si>
  <si>
    <t>Kasum/kahjum põhivara ja varude müügist</t>
  </si>
  <si>
    <t>Kasum/kahjum mateeriaalse PV müügust</t>
  </si>
  <si>
    <t>4</t>
  </si>
  <si>
    <t>Antud toetused</t>
  </si>
  <si>
    <t>Muud toetused</t>
  </si>
  <si>
    <t>Antud mittesihtotstarbeline finantseerimine</t>
  </si>
  <si>
    <t xml:space="preserve">Tegevuskulud </t>
  </si>
  <si>
    <t>Tööjõukulud</t>
  </si>
  <si>
    <t>Töötasu</t>
  </si>
  <si>
    <t>Töötajate töötasu</t>
  </si>
  <si>
    <t>Ajutised lepingulised töötajate töötasu</t>
  </si>
  <si>
    <t xml:space="preserve">Erisoodustused </t>
  </si>
  <si>
    <t>Töötajate kindlustamine tööandja huvides</t>
  </si>
  <si>
    <t>Taseme- ja vabahariduslik koolitus (erisoodustuse alla minev)</t>
  </si>
  <si>
    <t>6</t>
  </si>
  <si>
    <t>Tööjõukuludega kaasnevad maksud ja sotsiaalkindl.</t>
  </si>
  <si>
    <t>Majandamiskulud</t>
  </si>
  <si>
    <t>Administreerimiskulud</t>
  </si>
  <si>
    <t>Kiinistute, hoonete maj. kulud</t>
  </si>
  <si>
    <t>Rajatiste majandamiskulud</t>
  </si>
  <si>
    <t>Sõidukite majandamiskulud</t>
  </si>
  <si>
    <t>Info- aj kommun.tehnoloogia kulud</t>
  </si>
  <si>
    <t>Inventari majanduamiskulud</t>
  </si>
  <si>
    <t>Töömasinate ja seadmete majandamiskulud</t>
  </si>
  <si>
    <t>Meditsiinikulud ja hügieenikulud</t>
  </si>
  <si>
    <t>Litsentsid</t>
  </si>
  <si>
    <t>9</t>
  </si>
  <si>
    <t>Tootmiskulud</t>
  </si>
  <si>
    <t>Eririietus</t>
  </si>
  <si>
    <t>Muu erivarustus ja materjalid</t>
  </si>
  <si>
    <t>Muud kulud</t>
  </si>
  <si>
    <t>Muud Tegevuskulud</t>
  </si>
  <si>
    <t>Maksu- ja Lõivu-, Trahvikulud</t>
  </si>
  <si>
    <t>Maksud, lõivud, trahvid (tegevuskulus)</t>
  </si>
  <si>
    <t>Kulu ebatõenäoliselt laekuvatest nõuetest</t>
  </si>
  <si>
    <t>Põhivara amortisatsioon ja ümberhindlus</t>
  </si>
  <si>
    <t>Materiaalse põhivara amortisatsioon</t>
  </si>
  <si>
    <t>Hoonete ja rajatiste amortisatsioon</t>
  </si>
  <si>
    <t>Masinate ja seadmete amortisatsioon</t>
  </si>
  <si>
    <t>Info- ja kommunikatsioonitehnoloogia seadm amort.</t>
  </si>
  <si>
    <t>Muu amortiseeruva põhivara amortisatsioon</t>
  </si>
  <si>
    <t>Immateriaalse põhivara amortisatsioon</t>
  </si>
  <si>
    <t>Finantstulud ja- kulud</t>
  </si>
  <si>
    <t>Intressikulu</t>
  </si>
  <si>
    <t>Tulu hoiustelt</t>
  </si>
  <si>
    <t>Tulem</t>
  </si>
  <si>
    <t>rentaablus</t>
  </si>
  <si>
    <t>Kokku aasta</t>
  </si>
  <si>
    <t>Töötasud</t>
  </si>
  <si>
    <t>Põhipalk</t>
  </si>
  <si>
    <t>Lisatasu (püsiv)</t>
  </si>
  <si>
    <t>Puhkusetasu</t>
  </si>
  <si>
    <t>Lepinguline töötasu</t>
  </si>
  <si>
    <t>Sotsiaalmaks töötasudelt</t>
  </si>
  <si>
    <t>Töötuskindlustusmakse</t>
  </si>
  <si>
    <t>Kogused (Müügid ja tootmised, kaod)</t>
  </si>
  <si>
    <t>MWh hind</t>
  </si>
  <si>
    <t>müüdud kogus MWh</t>
  </si>
  <si>
    <t>Müüdud summa kroonides</t>
  </si>
  <si>
    <t>Puiduhake</t>
  </si>
  <si>
    <t>Tootmiskulud kogus m³</t>
  </si>
  <si>
    <t>Tootmiskulud summa kroonides</t>
  </si>
  <si>
    <t>Kütteõli</t>
  </si>
  <si>
    <t>MWH</t>
  </si>
  <si>
    <t>Autokulud</t>
  </si>
  <si>
    <t>Rent (Liising)</t>
  </si>
  <si>
    <t>kindlustus</t>
  </si>
  <si>
    <t>kütus</t>
  </si>
  <si>
    <t>remont ja hooldus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</si>
  <si>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</si>
  <si>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</si>
  <si>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</si>
  <si>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</si>
  <si>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</si>
  <si>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</si>
  <si>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</si>
  <si>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</si>
  <si>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</si>
  <si>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</si>
  <si>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</si>
  <si>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</si>
  <si>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kogus</t>
  </si>
  <si>
    <t>jaanuar</t>
  </si>
  <si>
    <t>Koolituskulud.,lähetuskulud</t>
  </si>
  <si>
    <t>Ettevõtte tulumaks</t>
  </si>
  <si>
    <t>Muud tegevuskulud</t>
  </si>
  <si>
    <t>Mitmesugused majanduskulud</t>
  </si>
  <si>
    <t>Põhiosa tagasimaks (rahavoo kulud)</t>
  </si>
  <si>
    <t>Juuni EA</t>
  </si>
  <si>
    <t>Juuli EA</t>
  </si>
  <si>
    <t>August EA</t>
  </si>
  <si>
    <t>September EA</t>
  </si>
  <si>
    <t>Oktoober EA</t>
  </si>
  <si>
    <t>November EA</t>
  </si>
  <si>
    <t>Detsember EA</t>
  </si>
  <si>
    <t>Toetused, koondamise hüvitised</t>
  </si>
  <si>
    <t>m³</t>
  </si>
  <si>
    <t>müüdud kogus m³</t>
  </si>
  <si>
    <t>maagaas</t>
  </si>
  <si>
    <t>gaas</t>
  </si>
  <si>
    <t xml:space="preserve">Toodetud MWH </t>
  </si>
  <si>
    <t>Kapitalirent (Liising)</t>
  </si>
  <si>
    <t xml:space="preserve">Intress kapitalirendilt </t>
  </si>
  <si>
    <t xml:space="preserve">322 ja 395 </t>
  </si>
  <si>
    <t xml:space="preserve">323 ja 395 </t>
  </si>
  <si>
    <t xml:space="preserve">324 ja 395 </t>
  </si>
  <si>
    <t xml:space="preserve">325 ja 395 </t>
  </si>
  <si>
    <t xml:space="preserve">326 ja 395 </t>
  </si>
  <si>
    <t xml:space="preserve">327 ja 395 </t>
  </si>
  <si>
    <t xml:space="preserve">328 ja 395 </t>
  </si>
  <si>
    <t xml:space="preserve">329 ja 395 </t>
  </si>
  <si>
    <t>intress</t>
  </si>
  <si>
    <t>Toodetud MWH</t>
  </si>
  <si>
    <t>Rent (Liising), autokomp.</t>
  </si>
  <si>
    <t>Pangalaenu tagasimaksmise osamaks alates 01.07.2010 12500 krooni kuus</t>
  </si>
  <si>
    <t>KOGUS m³</t>
  </si>
  <si>
    <t>Vesi</t>
  </si>
  <si>
    <t>Ab tasud</t>
  </si>
  <si>
    <t>Rent (Liising) 322, 884</t>
  </si>
  <si>
    <t>Autokulud 322 ja 844</t>
  </si>
  <si>
    <t>intressid</t>
  </si>
  <si>
    <t>Ab tasud kuu</t>
  </si>
  <si>
    <t>Ab tasud kuu summas</t>
  </si>
  <si>
    <t>Ab tasud kvartal kogus</t>
  </si>
  <si>
    <t>Ab tasud kvartal summa</t>
  </si>
  <si>
    <t>muud niiduk trimmer, generaator</t>
  </si>
  <si>
    <t xml:space="preserve">Laenu tagasimakse põhiosa </t>
  </si>
  <si>
    <t xml:space="preserve">auto liisingud </t>
  </si>
  <si>
    <t xml:space="preserve">Rent (Liising) </t>
  </si>
  <si>
    <t>Autokulud 139</t>
  </si>
  <si>
    <t>Autokulud 322</t>
  </si>
  <si>
    <t>Vesi Remediast</t>
  </si>
  <si>
    <t>Vesi Kuusalu Energiast</t>
  </si>
  <si>
    <t>s.h. Gaasiga</t>
  </si>
  <si>
    <t>Hakkega</t>
  </si>
  <si>
    <t>s.h. Õliga</t>
  </si>
  <si>
    <t xml:space="preserve">Vesi </t>
  </si>
  <si>
    <t xml:space="preserve">Autokulud </t>
  </si>
  <si>
    <t>Vesi Uuri Suurtalust</t>
  </si>
  <si>
    <t xml:space="preserve">LIITUMISTASUD </t>
  </si>
  <si>
    <t>kogus liitujaid</t>
  </si>
  <si>
    <t>KOGUS kWh</t>
  </si>
  <si>
    <t>Ostetud elektrienergia  kogus kWh</t>
  </si>
  <si>
    <t>müüdud kogus kWh</t>
  </si>
  <si>
    <t>Tehasealajaamast   (hind)</t>
  </si>
  <si>
    <t>Komm kulud</t>
  </si>
  <si>
    <t>L7 Aasamets                       30,3m²</t>
  </si>
  <si>
    <t>Kv 2 Torma T.A                    28,6m²</t>
  </si>
  <si>
    <t>L11-27 Kuuskman                27,1 m² müügis</t>
  </si>
  <si>
    <t xml:space="preserve">L12 Lõuke                           27,1 m²  </t>
  </si>
  <si>
    <t xml:space="preserve">L 12  Rohtmets K                 27,1m² </t>
  </si>
  <si>
    <t>L6     Pihla                          29,6 m²</t>
  </si>
  <si>
    <t>kommunaalkulude edastamine</t>
  </si>
  <si>
    <t>L6   Vaarman                      39,6m²</t>
  </si>
  <si>
    <t>Renditulu</t>
  </si>
  <si>
    <t>Kv 2 Dejev  2 inim,               28,9m²</t>
  </si>
  <si>
    <t>Kv2 Kivissaar                        27,8m²</t>
  </si>
  <si>
    <t>L13 Pahla ajutine rent 29,6 m² müügis</t>
  </si>
  <si>
    <t>066051 adm</t>
  </si>
  <si>
    <t>04320 gaas</t>
  </si>
  <si>
    <t>043601 Sooj Kuusalu</t>
  </si>
  <si>
    <t>043602 Sooj Kolga</t>
  </si>
  <si>
    <t>HV 052001 Kuus+kiiu</t>
  </si>
  <si>
    <t>HV 052003 Kolga</t>
  </si>
  <si>
    <t>HV 052004 Uuri</t>
  </si>
  <si>
    <t>JV 063001 Kuusalu+ KIIU</t>
  </si>
  <si>
    <t>JV 063003 Valkla</t>
  </si>
  <si>
    <t>JV 063004 Pärispea</t>
  </si>
  <si>
    <t>JV 063005 Kolga</t>
  </si>
  <si>
    <t>JV 063006 Uuri</t>
  </si>
  <si>
    <t>JV 063007 Salmistu</t>
  </si>
  <si>
    <t>EL 064001 Kuusalu tänav.valg.</t>
  </si>
  <si>
    <t>EH 066011 korterid-maja</t>
  </si>
  <si>
    <t>MT 066013 Muud tulud</t>
  </si>
  <si>
    <t>KOGUS</t>
  </si>
  <si>
    <t xml:space="preserve">KOGUS </t>
  </si>
  <si>
    <t>Rahaliste vahendite jääk perioodi algul</t>
  </si>
  <si>
    <t>Tegevustulud- Laekumised</t>
  </si>
  <si>
    <t>Liitumistasudest</t>
  </si>
  <si>
    <t>Müüdud põhivara</t>
  </si>
  <si>
    <t>Saadud laenu</t>
  </si>
  <si>
    <t>Tegevuskulud</t>
  </si>
  <si>
    <t>Investeeringud- renoveerimine ja ehitus</t>
  </si>
  <si>
    <t>Kapitalirendi tagasimaksed</t>
  </si>
  <si>
    <t>Pangalaenude tagasimaksed</t>
  </si>
  <si>
    <t>Rahaliste vahendite jääk perioodi lõpus</t>
  </si>
  <si>
    <t>Pangalaenude põhiosade tasumine</t>
  </si>
  <si>
    <t>Kuusalu Biopuhasti ja Kolga katlamaja laen</t>
  </si>
  <si>
    <t>Kolga biopuhasti, Kuusalu katlamaja, Salmistu veetrass</t>
  </si>
  <si>
    <t>Pangalaenude põhiosade tasumine kokku</t>
  </si>
  <si>
    <t>mai</t>
  </si>
  <si>
    <t>juuni</t>
  </si>
  <si>
    <t>Käibemaksukohustus</t>
  </si>
  <si>
    <t>Tööjõukulud (palk+maksud)</t>
  </si>
  <si>
    <t>Kasutatud arvelduskrediiti</t>
  </si>
  <si>
    <t xml:space="preserve">KULUD </t>
  </si>
  <si>
    <t>Rauli puhkusetasud koos maksudega</t>
  </si>
  <si>
    <t>veeprojekt  (vallast 2009lõpus saadud)</t>
  </si>
  <si>
    <t xml:space="preserve">Salmistu veevärgi rajamine </t>
  </si>
  <si>
    <t xml:space="preserve">sellele käibemaks </t>
  </si>
  <si>
    <t>Pärispea?</t>
  </si>
  <si>
    <t>TULUD</t>
  </si>
  <si>
    <t>Liitumistasud Salmistul 720000 kr sellest 350000 2010 aastal</t>
  </si>
  <si>
    <t xml:space="preserve">Korterite müük </t>
  </si>
  <si>
    <t>Kokku</t>
  </si>
  <si>
    <t>Finantskulud, laenuintressid</t>
  </si>
  <si>
    <t>keskkonnatasud</t>
  </si>
  <si>
    <t>Muud tegevuskulud, maamaks, riigilõivud</t>
  </si>
  <si>
    <t>Maa ostmise järelmaks Harju MV</t>
  </si>
  <si>
    <t>saadud KIK fin</t>
  </si>
  <si>
    <t>tasutud põhivara soetamise eest.</t>
  </si>
  <si>
    <t>Siht fin veeprojekt  (vallast 2009lõpus saadud)</t>
  </si>
  <si>
    <t>avatud arvelduskrediiti</t>
  </si>
  <si>
    <t>Vallast teenuste eest ettemaks, tagasimaks (-)</t>
  </si>
  <si>
    <t>KOKKU</t>
  </si>
  <si>
    <t>juuli EA</t>
  </si>
  <si>
    <t>august EA</t>
  </si>
  <si>
    <t>september EA</t>
  </si>
  <si>
    <t>oktoober EA</t>
  </si>
  <si>
    <t>november EA</t>
  </si>
  <si>
    <t>detsember EA</t>
  </si>
  <si>
    <t>Kasum peale halduskulude jagamist tegevusalale</t>
  </si>
  <si>
    <r>
      <t xml:space="preserve">rentaablus    </t>
    </r>
    <r>
      <rPr>
        <sz val="8"/>
        <rFont val="Arial"/>
        <family val="2"/>
      </rPr>
      <t>(Kõik tulud: Kõik kulud) enne halduskulude jaotamist</t>
    </r>
  </si>
  <si>
    <t xml:space="preserve"> Halduskulude jagamine vastavalt realiseermise osaluse %-le</t>
  </si>
  <si>
    <t>Realiseerimise osalus (ainult müük )</t>
  </si>
  <si>
    <t>rentaablus peale halduskulude jagamist</t>
  </si>
  <si>
    <t xml:space="preserve">Juuni </t>
  </si>
  <si>
    <t xml:space="preserve">Juuli </t>
  </si>
  <si>
    <t xml:space="preserve">August </t>
  </si>
  <si>
    <t>Kv2 Heinmaa                          23,5 m²</t>
  </si>
  <si>
    <t>intres</t>
  </si>
  <si>
    <t>Niitmine</t>
  </si>
  <si>
    <t xml:space="preserve">September </t>
  </si>
  <si>
    <t>Muud viivisintressitulud</t>
  </si>
  <si>
    <t>Pangalaenu tagasimaksed</t>
  </si>
  <si>
    <t>Pangalaenu intressid</t>
  </si>
  <si>
    <t>Pangalaenu põhiosa maksed</t>
  </si>
  <si>
    <t>Laenuintressid</t>
  </si>
  <si>
    <t>Laenu intressid</t>
  </si>
  <si>
    <t>Pangalaenude põhiosade tagasimaksed</t>
  </si>
  <si>
    <t>Pangalaenude intressimaksed</t>
  </si>
  <si>
    <t>Langalaenuintresside tagasiamaksed</t>
  </si>
  <si>
    <t xml:space="preserve">Oktoober </t>
  </si>
  <si>
    <t>MÜÜDUD</t>
  </si>
  <si>
    <t>Rahavoogude aruanne sept. kuust alates  korrigeerimata.</t>
  </si>
  <si>
    <t xml:space="preserve"> 2010a Kokku aasta</t>
  </si>
  <si>
    <t>2010a Kokku aasta</t>
  </si>
  <si>
    <t xml:space="preserve">November </t>
  </si>
  <si>
    <t>Lisatasu (püsiv), valve, ühekordne lisatasu</t>
  </si>
  <si>
    <t>Lisatasu (püsiv), valvetasu, ühekordne lisatasu</t>
  </si>
  <si>
    <t>Peaks lisama elektrikulu.- alates II poolaastast olemas</t>
  </si>
  <si>
    <t xml:space="preserve">Detsember </t>
  </si>
  <si>
    <t>Nõukogu liikmete tasu</t>
  </si>
  <si>
    <t>esinduskulud</t>
  </si>
  <si>
    <t>Mitmesugused majanduskulud (transport s.h.)</t>
  </si>
  <si>
    <t>Liitumistasude amortisatsioon 1 kord aastas</t>
  </si>
  <si>
    <t>Liitumistasude amortisatsioon- tuludeks 1 kord aastas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</si>
</sst>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i/>
      <sz val="14"/>
      <color indexed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1" xfId="0" applyNumberFormat="1" applyFill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16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 applyProtection="1">
      <alignment wrapText="1"/>
      <protection locked="0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0" fontId="17" fillId="0" borderId="10" xfId="0" applyFont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7.7109375" style="0" bestFit="1" customWidth="1"/>
    <col min="2" max="2" width="12.28125" style="69" bestFit="1" customWidth="1"/>
    <col min="3" max="3" width="11.7109375" style="69" bestFit="1" customWidth="1"/>
    <col min="4" max="4" width="12.28125" style="69" bestFit="1" customWidth="1"/>
    <col min="5" max="5" width="11.7109375" style="69" bestFit="1" customWidth="1"/>
    <col min="6" max="6" width="10.7109375" style="69" bestFit="1" customWidth="1"/>
    <col min="7" max="7" width="12.28125" style="69" bestFit="1" customWidth="1"/>
    <col min="8" max="8" width="11.7109375" style="69" bestFit="1" customWidth="1"/>
    <col min="9" max="13" width="12.28125" style="69" bestFit="1" customWidth="1"/>
    <col min="14" max="14" width="12.7109375" style="68" bestFit="1" customWidth="1"/>
  </cols>
  <sheetData>
    <row r="1" spans="1:14" s="54" customFormat="1" ht="25.5">
      <c r="A1" s="110" t="s">
        <v>264</v>
      </c>
      <c r="B1" s="5" t="s">
        <v>102</v>
      </c>
      <c r="C1" s="5" t="s">
        <v>90</v>
      </c>
      <c r="D1" s="5" t="s">
        <v>91</v>
      </c>
      <c r="E1" s="5" t="s">
        <v>92</v>
      </c>
      <c r="F1" s="5" t="s">
        <v>210</v>
      </c>
      <c r="G1" s="5" t="s">
        <v>211</v>
      </c>
      <c r="H1" s="5" t="s">
        <v>235</v>
      </c>
      <c r="I1" s="5" t="s">
        <v>236</v>
      </c>
      <c r="J1" s="5" t="s">
        <v>237</v>
      </c>
      <c r="K1" s="5" t="s">
        <v>238</v>
      </c>
      <c r="L1" s="5" t="s">
        <v>239</v>
      </c>
      <c r="M1" s="5" t="s">
        <v>240</v>
      </c>
      <c r="N1" s="73" t="s">
        <v>234</v>
      </c>
    </row>
    <row r="2" spans="1:14" ht="12.75">
      <c r="A2" s="1" t="s">
        <v>196</v>
      </c>
      <c r="B2" s="4">
        <v>-1220</v>
      </c>
      <c r="C2" s="4">
        <f>B27</f>
        <v>-26326.199999999953</v>
      </c>
      <c r="D2" s="4">
        <f aca="true" t="shared" si="0" ref="D2:M2">C27</f>
        <v>51805.32000000012</v>
      </c>
      <c r="E2" s="4">
        <f t="shared" si="0"/>
        <v>-25250.73999999999</v>
      </c>
      <c r="F2" s="4">
        <f t="shared" si="0"/>
        <v>42129.8899999999</v>
      </c>
      <c r="G2" s="4">
        <f t="shared" si="0"/>
        <v>81700.48999999993</v>
      </c>
      <c r="H2" s="4">
        <f t="shared" si="0"/>
        <v>75823.68999999983</v>
      </c>
      <c r="I2" s="4">
        <f t="shared" si="0"/>
        <v>-382337.31000000006</v>
      </c>
      <c r="J2" s="4">
        <f t="shared" si="0"/>
        <v>-1272239.3100000003</v>
      </c>
      <c r="K2" s="4">
        <f t="shared" si="0"/>
        <v>-1333833.3100000003</v>
      </c>
      <c r="L2" s="4">
        <f t="shared" si="0"/>
        <v>-1930702.3100000003</v>
      </c>
      <c r="M2" s="4">
        <f t="shared" si="0"/>
        <v>-1855379.3100000003</v>
      </c>
      <c r="N2" s="15">
        <f>B2</f>
        <v>-1220</v>
      </c>
    </row>
    <row r="3" spans="1:14" s="37" customFormat="1" ht="12.75">
      <c r="A3" s="16" t="s">
        <v>197</v>
      </c>
      <c r="B3" s="7">
        <f>SUM(B4:B11)</f>
        <v>969167.06</v>
      </c>
      <c r="C3" s="7">
        <f aca="true" t="shared" si="1" ref="C3:M3">SUM(C4:C11)</f>
        <v>1399977.23</v>
      </c>
      <c r="D3" s="7">
        <f t="shared" si="1"/>
        <v>1258434.49</v>
      </c>
      <c r="E3" s="7">
        <f t="shared" si="1"/>
        <v>1088922.07</v>
      </c>
      <c r="F3" s="7">
        <f t="shared" si="1"/>
        <v>921033.7200000001</v>
      </c>
      <c r="G3" s="7">
        <f t="shared" si="1"/>
        <v>1198879.88</v>
      </c>
      <c r="H3" s="7">
        <f t="shared" si="1"/>
        <v>1304447.8399999999</v>
      </c>
      <c r="I3" s="7">
        <f t="shared" si="1"/>
        <v>1744885.16</v>
      </c>
      <c r="J3" s="7">
        <f t="shared" si="1"/>
        <v>430327</v>
      </c>
      <c r="K3" s="7">
        <f t="shared" si="1"/>
        <v>345589</v>
      </c>
      <c r="L3" s="7">
        <f t="shared" si="1"/>
        <v>1003931</v>
      </c>
      <c r="M3" s="7">
        <f t="shared" si="1"/>
        <v>1049717</v>
      </c>
      <c r="N3" s="7">
        <f>SUM(B3:M3)</f>
        <v>12715311.45</v>
      </c>
    </row>
    <row r="4" spans="1:14" ht="12.75">
      <c r="A4" s="1" t="s">
        <v>7</v>
      </c>
      <c r="B4" s="4">
        <f>977167.06-8000-B6</f>
        <v>949167.06</v>
      </c>
      <c r="C4" s="4">
        <v>1399977.23</v>
      </c>
      <c r="D4" s="4">
        <v>1258434.49</v>
      </c>
      <c r="E4" s="4">
        <f>1172358-8000</f>
        <v>1164358</v>
      </c>
      <c r="F4" s="4">
        <f>829131.06-8135.59</f>
        <v>820995.4700000001</v>
      </c>
      <c r="G4" s="4">
        <f>1060643-418.62-(466100)</f>
        <v>594124.3799999999</v>
      </c>
      <c r="H4" s="4">
        <f>409000*1.2</f>
        <v>490800</v>
      </c>
      <c r="I4" s="4">
        <f>274000*1.2</f>
        <v>328800</v>
      </c>
      <c r="J4" s="4">
        <f>252000*1.2</f>
        <v>302400</v>
      </c>
      <c r="K4" s="4">
        <f>415000*1.2</f>
        <v>498000</v>
      </c>
      <c r="L4" s="4">
        <f>805900*1.2</f>
        <v>967080</v>
      </c>
      <c r="M4" s="4">
        <f>851000*1.2</f>
        <v>1021200</v>
      </c>
      <c r="N4" s="15">
        <f aca="true" t="shared" si="2" ref="N4:N26">SUM(B4:M4)</f>
        <v>9795336.629999999</v>
      </c>
    </row>
    <row r="5" spans="1:14" ht="12.75">
      <c r="A5" s="1" t="s">
        <v>233</v>
      </c>
      <c r="B5" s="4"/>
      <c r="C5" s="4"/>
      <c r="D5" s="4"/>
      <c r="E5" s="4"/>
      <c r="F5" s="4"/>
      <c r="G5" s="4">
        <f>(466100)+(-8717)</f>
        <v>457383</v>
      </c>
      <c r="H5" s="4">
        <f>-3660</f>
        <v>-3660</v>
      </c>
      <c r="I5" s="4">
        <f>-4607</f>
        <v>-4607</v>
      </c>
      <c r="J5" s="4">
        <f>-22073</f>
        <v>-22073</v>
      </c>
      <c r="K5" s="4">
        <f>-152411</f>
        <v>-152411</v>
      </c>
      <c r="L5" s="4">
        <f>-143149</f>
        <v>-143149</v>
      </c>
      <c r="M5" s="4">
        <f>-131483</f>
        <v>-131483</v>
      </c>
      <c r="N5" s="15">
        <f t="shared" si="2"/>
        <v>0</v>
      </c>
    </row>
    <row r="6" spans="1:14" ht="12.75">
      <c r="A6" s="1" t="s">
        <v>198</v>
      </c>
      <c r="B6" s="4">
        <v>20000</v>
      </c>
      <c r="C6" s="4">
        <v>0</v>
      </c>
      <c r="D6" s="4"/>
      <c r="E6" s="4"/>
      <c r="F6" s="4"/>
      <c r="G6" s="4"/>
      <c r="H6" s="4"/>
      <c r="I6" s="4">
        <v>180000</v>
      </c>
      <c r="J6" s="4"/>
      <c r="K6" s="4"/>
      <c r="L6" s="4">
        <v>180000</v>
      </c>
      <c r="M6" s="4"/>
      <c r="N6" s="15">
        <f t="shared" si="2"/>
        <v>380000</v>
      </c>
    </row>
    <row r="7" spans="1:14" ht="12.75">
      <c r="A7" s="1" t="s">
        <v>214</v>
      </c>
      <c r="B7" s="4"/>
      <c r="C7" s="4"/>
      <c r="D7" s="4"/>
      <c r="E7" s="4">
        <v>-75435.93</v>
      </c>
      <c r="F7" s="4">
        <v>-39961.75</v>
      </c>
      <c r="G7" s="4">
        <v>7372.5</v>
      </c>
      <c r="H7" s="4"/>
      <c r="I7" s="4"/>
      <c r="J7" s="4"/>
      <c r="K7" s="4"/>
      <c r="L7" s="4"/>
      <c r="M7" s="4"/>
      <c r="N7" s="15">
        <f t="shared" si="2"/>
        <v>-108025.18</v>
      </c>
    </row>
    <row r="8" spans="1:14" ht="12.75">
      <c r="A8" s="1" t="s">
        <v>232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5">
        <f t="shared" si="2"/>
        <v>0</v>
      </c>
    </row>
    <row r="9" spans="1:14" ht="12.75">
      <c r="A9" s="1" t="s">
        <v>199</v>
      </c>
      <c r="B9" s="4"/>
      <c r="C9" s="4"/>
      <c r="D9" s="4"/>
      <c r="E9" s="4"/>
      <c r="F9" s="4">
        <v>140000</v>
      </c>
      <c r="G9" s="4">
        <v>140000</v>
      </c>
      <c r="H9" s="4"/>
      <c r="I9" s="4"/>
      <c r="J9" s="4">
        <v>150000</v>
      </c>
      <c r="K9" s="4"/>
      <c r="L9" s="4"/>
      <c r="M9" s="4">
        <v>160000</v>
      </c>
      <c r="N9" s="15">
        <f t="shared" si="2"/>
        <v>590000</v>
      </c>
    </row>
    <row r="10" spans="1:14" ht="12.75">
      <c r="A10" s="1" t="s">
        <v>229</v>
      </c>
      <c r="B10" s="4"/>
      <c r="C10" s="4"/>
      <c r="D10" s="4"/>
      <c r="E10" s="4"/>
      <c r="F10" s="4"/>
      <c r="G10" s="4"/>
      <c r="H10" s="4">
        <v>817307.84</v>
      </c>
      <c r="I10" s="4">
        <f>1182692.16+58000</f>
        <v>1240692.16</v>
      </c>
      <c r="J10" s="4"/>
      <c r="K10" s="4"/>
      <c r="L10" s="4"/>
      <c r="M10" s="4"/>
      <c r="N10" s="15">
        <f t="shared" si="2"/>
        <v>2058000</v>
      </c>
    </row>
    <row r="11" spans="1:14" ht="12.75">
      <c r="A11" s="1" t="s">
        <v>200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5">
        <f t="shared" si="2"/>
        <v>0</v>
      </c>
    </row>
    <row r="12" spans="1:14" s="37" customFormat="1" ht="12.75">
      <c r="A12" s="16" t="s">
        <v>23</v>
      </c>
      <c r="B12" s="7">
        <f>SUM(B13)</f>
        <v>0</v>
      </c>
      <c r="C12" s="7">
        <f aca="true" t="shared" si="3" ref="C12:M12">SUM(C13)</f>
        <v>0</v>
      </c>
      <c r="D12" s="7">
        <f t="shared" si="3"/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2"/>
        <v>0</v>
      </c>
    </row>
    <row r="13" spans="1:14" ht="12.75">
      <c r="A13" s="1" t="s">
        <v>24</v>
      </c>
      <c r="B13" s="4">
        <v>0</v>
      </c>
      <c r="C13" s="4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15">
        <f t="shared" si="2"/>
        <v>0</v>
      </c>
    </row>
    <row r="14" spans="1:14" s="37" customFormat="1" ht="12.75">
      <c r="A14" s="16" t="s">
        <v>201</v>
      </c>
      <c r="B14" s="7">
        <f>SUM(B15:B16)</f>
        <v>694107.97</v>
      </c>
      <c r="C14" s="7">
        <f aca="true" t="shared" si="4" ref="C14:M14">SUM(C15:C16)</f>
        <v>980496.1199999999</v>
      </c>
      <c r="D14" s="7">
        <f t="shared" si="4"/>
        <v>920185.9500000001</v>
      </c>
      <c r="E14" s="7">
        <f t="shared" si="4"/>
        <v>737496.1600000001</v>
      </c>
      <c r="F14" s="7">
        <f t="shared" si="4"/>
        <v>630891.05</v>
      </c>
      <c r="G14" s="7">
        <f>SUM(G15:G16)</f>
        <v>800382.9500000001</v>
      </c>
      <c r="H14" s="7">
        <f t="shared" si="4"/>
        <v>467585</v>
      </c>
      <c r="I14" s="7">
        <f t="shared" si="4"/>
        <v>475164</v>
      </c>
      <c r="J14" s="7">
        <f t="shared" si="4"/>
        <v>476110</v>
      </c>
      <c r="K14" s="7">
        <f t="shared" si="4"/>
        <v>704679</v>
      </c>
      <c r="L14" s="7">
        <f t="shared" si="4"/>
        <v>819379</v>
      </c>
      <c r="M14" s="7">
        <f t="shared" si="4"/>
        <v>836781</v>
      </c>
      <c r="N14" s="7">
        <f t="shared" si="2"/>
        <v>8543258.2</v>
      </c>
    </row>
    <row r="15" spans="1:14" ht="12.75">
      <c r="A15" s="1" t="s">
        <v>213</v>
      </c>
      <c r="B15" s="4">
        <f>74050+114034.7</f>
        <v>188084.7</v>
      </c>
      <c r="C15" s="4">
        <f>72760+111951.05</f>
        <v>184711.05</v>
      </c>
      <c r="D15" s="4">
        <f>71083+126274.6</f>
        <v>197357.6</v>
      </c>
      <c r="E15" s="4">
        <f>81315+113352.2</f>
        <v>194667.2</v>
      </c>
      <c r="F15" s="4">
        <f>73032+125879.4</f>
        <v>198911.4</v>
      </c>
      <c r="G15" s="4">
        <f>83198+95744.5</f>
        <v>178942.5</v>
      </c>
      <c r="H15" s="4">
        <f>139869+48116</f>
        <v>187985</v>
      </c>
      <c r="I15" s="4">
        <f>171401+58963</f>
        <v>230364</v>
      </c>
      <c r="J15" s="4">
        <f>117634+40476</f>
        <v>158110</v>
      </c>
      <c r="K15" s="4">
        <f>122551+42128</f>
        <v>164679</v>
      </c>
      <c r="L15" s="4">
        <f>118585+40794</f>
        <v>159379</v>
      </c>
      <c r="M15" s="4">
        <f>122605+42176</f>
        <v>164781</v>
      </c>
      <c r="N15" s="15">
        <f t="shared" si="2"/>
        <v>2207972.45</v>
      </c>
    </row>
    <row r="16" spans="1:14" s="68" customFormat="1" ht="13.5" customHeight="1">
      <c r="A16" s="72" t="s">
        <v>36</v>
      </c>
      <c r="B16" s="15">
        <f>13114+496122.9+619.5+1000-4833.15+0.02</f>
        <v>506023.27</v>
      </c>
      <c r="C16" s="15">
        <f>7115.55+779460.85+1000+522.6+129.99+7556.1-0.02</f>
        <v>795785.07</v>
      </c>
      <c r="D16" s="15">
        <f>1000+492.5-3790+18113.56+709002.68-1990.39</f>
        <v>722828.3500000001</v>
      </c>
      <c r="E16" s="15">
        <f>1112+361.75+14690.65+614295.1-7194.71-80435.83</f>
        <v>542828.9600000001</v>
      </c>
      <c r="F16" s="15">
        <f>8383.1+473211.48-11086.55+433.4+1000-39961.78</f>
        <v>431979.65</v>
      </c>
      <c r="G16" s="15">
        <f>222+835455.8-10626.73+2361.5+1116-3088.12-204000</f>
        <v>621440.4500000001</v>
      </c>
      <c r="H16" s="15">
        <f>233000*1.2</f>
        <v>279600</v>
      </c>
      <c r="I16" s="15">
        <f>204000*1.2</f>
        <v>244800</v>
      </c>
      <c r="J16" s="15">
        <f>265000*1.2</f>
        <v>318000</v>
      </c>
      <c r="K16" s="15">
        <f>450000*1.2</f>
        <v>540000</v>
      </c>
      <c r="L16" s="15">
        <f>550000*1.2</f>
        <v>660000</v>
      </c>
      <c r="M16" s="15">
        <f>560000*1.2</f>
        <v>672000</v>
      </c>
      <c r="N16" s="15">
        <f t="shared" si="2"/>
        <v>6335285.75</v>
      </c>
    </row>
    <row r="17" spans="1:14" s="37" customFormat="1" ht="12.75">
      <c r="A17" s="16" t="s">
        <v>50</v>
      </c>
      <c r="B17" s="7">
        <f>SUM(B18:B26)</f>
        <v>300165.29000000004</v>
      </c>
      <c r="C17" s="7">
        <f>SUM(C18:C26)</f>
        <v>341349.59</v>
      </c>
      <c r="D17" s="7">
        <f aca="true" t="shared" si="5" ref="D17:M17">SUM(D18:D26)</f>
        <v>415304.6</v>
      </c>
      <c r="E17" s="7">
        <f t="shared" si="5"/>
        <v>284045.28</v>
      </c>
      <c r="F17" s="7">
        <f t="shared" si="5"/>
        <v>250572.07</v>
      </c>
      <c r="G17" s="7">
        <f>SUM(G18:G26)</f>
        <v>404373.73</v>
      </c>
      <c r="H17" s="7">
        <f>SUM(H18:H26)</f>
        <v>1295023.8399999999</v>
      </c>
      <c r="I17" s="7">
        <f t="shared" si="5"/>
        <v>2159623.16</v>
      </c>
      <c r="J17" s="7">
        <f t="shared" si="5"/>
        <v>15811</v>
      </c>
      <c r="K17" s="7">
        <f t="shared" si="5"/>
        <v>237779</v>
      </c>
      <c r="L17" s="7">
        <f t="shared" si="5"/>
        <v>109229</v>
      </c>
      <c r="M17" s="7">
        <f t="shared" si="5"/>
        <v>286981</v>
      </c>
      <c r="N17" s="7">
        <f t="shared" si="2"/>
        <v>6100257.5600000005</v>
      </c>
    </row>
    <row r="18" spans="1:14" ht="12.75">
      <c r="A18" s="1" t="s">
        <v>227</v>
      </c>
      <c r="B18" s="4"/>
      <c r="C18" s="4"/>
      <c r="D18" s="4">
        <v>2700</v>
      </c>
      <c r="E18" s="4">
        <v>280</v>
      </c>
      <c r="F18" s="4"/>
      <c r="G18" s="4"/>
      <c r="H18" s="4"/>
      <c r="I18" s="4"/>
      <c r="J18" s="4"/>
      <c r="K18" s="4"/>
      <c r="L18" s="4"/>
      <c r="M18" s="4"/>
      <c r="N18" s="15">
        <f t="shared" si="2"/>
        <v>2980</v>
      </c>
    </row>
    <row r="19" spans="1:14" ht="12.75">
      <c r="A19" s="1" t="s">
        <v>230</v>
      </c>
      <c r="B19" s="4"/>
      <c r="C19" s="4"/>
      <c r="D19" s="4"/>
      <c r="E19" s="4"/>
      <c r="F19" s="4"/>
      <c r="G19" s="4">
        <v>204000</v>
      </c>
      <c r="H19" s="4">
        <f>817307.84+291000+221800</f>
        <v>1330107.8399999999</v>
      </c>
      <c r="I19" s="4">
        <f>443000+336500+1240692.16</f>
        <v>2020192.16</v>
      </c>
      <c r="J19" s="4"/>
      <c r="K19" s="4"/>
      <c r="L19" s="4"/>
      <c r="M19" s="4"/>
      <c r="N19" s="15">
        <f t="shared" si="2"/>
        <v>3554300</v>
      </c>
    </row>
    <row r="20" spans="1:14" ht="12.75">
      <c r="A20" s="1" t="s">
        <v>226</v>
      </c>
      <c r="B20" s="4"/>
      <c r="C20" s="4"/>
      <c r="D20" s="4">
        <v>86060</v>
      </c>
      <c r="E20" s="4"/>
      <c r="F20" s="4"/>
      <c r="G20" s="4">
        <v>60074</v>
      </c>
      <c r="H20" s="4"/>
      <c r="I20" s="4"/>
      <c r="J20" s="4"/>
      <c r="K20" s="4">
        <v>63000</v>
      </c>
      <c r="L20" s="4"/>
      <c r="M20" s="4">
        <v>95000</v>
      </c>
      <c r="N20" s="15">
        <f t="shared" si="2"/>
        <v>304134</v>
      </c>
    </row>
    <row r="21" spans="1:14" ht="12.75">
      <c r="A21" s="1" t="s">
        <v>231</v>
      </c>
      <c r="B21" s="4"/>
      <c r="C21" s="4"/>
      <c r="D21" s="4"/>
      <c r="E21" s="4"/>
      <c r="F21" s="4"/>
      <c r="G21" s="4"/>
      <c r="H21" s="4"/>
      <c r="I21" s="4"/>
      <c r="J21" s="4">
        <v>170000</v>
      </c>
      <c r="K21" s="4"/>
      <c r="L21" s="4"/>
      <c r="M21" s="4"/>
      <c r="N21" s="15">
        <f t="shared" si="2"/>
        <v>170000</v>
      </c>
    </row>
    <row r="22" spans="1:14" ht="12.75">
      <c r="A22" s="1" t="s">
        <v>212</v>
      </c>
      <c r="B22" s="4">
        <v>108287</v>
      </c>
      <c r="C22" s="4">
        <f>119669</f>
        <v>119669</v>
      </c>
      <c r="D22" s="4">
        <v>123584</v>
      </c>
      <c r="E22" s="4">
        <v>75969</v>
      </c>
      <c r="F22" s="4">
        <v>30606</v>
      </c>
      <c r="G22" s="4"/>
      <c r="H22" s="4">
        <v>-174515</v>
      </c>
      <c r="I22" s="4"/>
      <c r="J22" s="4">
        <f>-293620</f>
        <v>-293620</v>
      </c>
      <c r="K22" s="4">
        <v>35348</v>
      </c>
      <c r="L22" s="4">
        <v>-37482</v>
      </c>
      <c r="M22" s="4">
        <v>52550</v>
      </c>
      <c r="N22" s="15">
        <f t="shared" si="2"/>
        <v>40396</v>
      </c>
    </row>
    <row r="23" spans="1:14" ht="12.75">
      <c r="A23" s="1" t="s">
        <v>225</v>
      </c>
      <c r="B23" s="4">
        <v>22932.06</v>
      </c>
      <c r="C23" s="4">
        <v>21751.33</v>
      </c>
      <c r="D23" s="4">
        <v>19542.24</v>
      </c>
      <c r="E23" s="4">
        <v>20478.07</v>
      </c>
      <c r="F23" s="4">
        <v>20769.96</v>
      </c>
      <c r="G23" s="4">
        <v>20694.06</v>
      </c>
      <c r="H23" s="4">
        <v>22931</v>
      </c>
      <c r="I23" s="4">
        <v>22931</v>
      </c>
      <c r="J23" s="4">
        <v>22931</v>
      </c>
      <c r="K23" s="4">
        <v>22931</v>
      </c>
      <c r="L23" s="4">
        <v>22931</v>
      </c>
      <c r="M23" s="4">
        <v>22931</v>
      </c>
      <c r="N23" s="15">
        <f t="shared" si="2"/>
        <v>263753.72</v>
      </c>
    </row>
    <row r="24" spans="1:14" ht="12.75">
      <c r="A24" s="1" t="s">
        <v>202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5">
        <f t="shared" si="2"/>
        <v>0</v>
      </c>
    </row>
    <row r="25" spans="1:14" ht="12.75">
      <c r="A25" s="1" t="s">
        <v>203</v>
      </c>
      <c r="B25" s="4">
        <v>4832.14</v>
      </c>
      <c r="C25" s="4">
        <v>4855.62</v>
      </c>
      <c r="D25" s="4">
        <v>1990.39</v>
      </c>
      <c r="E25" s="4">
        <v>7194.71</v>
      </c>
      <c r="F25" s="4">
        <v>11086.55</v>
      </c>
      <c r="G25" s="4">
        <v>10626.73</v>
      </c>
      <c r="H25" s="4">
        <v>7500</v>
      </c>
      <c r="I25" s="4">
        <v>7500</v>
      </c>
      <c r="J25" s="4">
        <v>7500</v>
      </c>
      <c r="K25" s="4">
        <v>7500</v>
      </c>
      <c r="L25" s="4">
        <v>7500</v>
      </c>
      <c r="M25" s="4">
        <v>7500</v>
      </c>
      <c r="N25" s="15">
        <f t="shared" si="2"/>
        <v>85586.14</v>
      </c>
    </row>
    <row r="26" spans="1:14" ht="12.75">
      <c r="A26" s="1" t="s">
        <v>204</v>
      </c>
      <c r="B26" s="4">
        <f>B34</f>
        <v>164114.09</v>
      </c>
      <c r="C26" s="4">
        <v>195073.64</v>
      </c>
      <c r="D26" s="4">
        <v>181427.97</v>
      </c>
      <c r="E26" s="4">
        <f aca="true" t="shared" si="6" ref="E26:M26">E34</f>
        <v>180123.5</v>
      </c>
      <c r="F26" s="4">
        <f t="shared" si="6"/>
        <v>188109.56</v>
      </c>
      <c r="G26" s="4">
        <f t="shared" si="6"/>
        <v>108978.94</v>
      </c>
      <c r="H26" s="4">
        <f t="shared" si="6"/>
        <v>109000</v>
      </c>
      <c r="I26" s="4">
        <f t="shared" si="6"/>
        <v>109000</v>
      </c>
      <c r="J26" s="4">
        <f t="shared" si="6"/>
        <v>109000</v>
      </c>
      <c r="K26" s="4">
        <f t="shared" si="6"/>
        <v>109000</v>
      </c>
      <c r="L26" s="4">
        <f t="shared" si="6"/>
        <v>116280</v>
      </c>
      <c r="M26" s="4">
        <f t="shared" si="6"/>
        <v>109000</v>
      </c>
      <c r="N26" s="15">
        <f t="shared" si="2"/>
        <v>1679107.7</v>
      </c>
    </row>
    <row r="27" spans="1:14" s="37" customFormat="1" ht="12.75">
      <c r="A27" s="16" t="s">
        <v>205</v>
      </c>
      <c r="B27" s="7">
        <f>B2+B3-B12-B14-B17</f>
        <v>-26326.199999999953</v>
      </c>
      <c r="C27" s="7">
        <f aca="true" t="shared" si="7" ref="C27:M27">C2+C3-C12-C14-C17</f>
        <v>51805.32000000012</v>
      </c>
      <c r="D27" s="7">
        <f t="shared" si="7"/>
        <v>-25250.73999999999</v>
      </c>
      <c r="E27" s="7">
        <f t="shared" si="7"/>
        <v>42129.8899999999</v>
      </c>
      <c r="F27" s="7">
        <f t="shared" si="7"/>
        <v>81700.48999999993</v>
      </c>
      <c r="G27" s="7">
        <f>G2+G3-G12-G14-G17</f>
        <v>75823.68999999983</v>
      </c>
      <c r="H27" s="7">
        <f t="shared" si="7"/>
        <v>-382337.31000000006</v>
      </c>
      <c r="I27" s="7">
        <f>I2+I3-I12-I14-I17</f>
        <v>-1272239.3100000003</v>
      </c>
      <c r="J27" s="7">
        <f t="shared" si="7"/>
        <v>-1333833.3100000003</v>
      </c>
      <c r="K27" s="7">
        <f t="shared" si="7"/>
        <v>-1930702.3100000003</v>
      </c>
      <c r="L27" s="7">
        <f t="shared" si="7"/>
        <v>-1855379.3100000003</v>
      </c>
      <c r="M27" s="7">
        <f t="shared" si="7"/>
        <v>-1929424.3100000003</v>
      </c>
      <c r="N27" s="7">
        <f>N2+N3-N12-N14-N17</f>
        <v>-1929424.3100000005</v>
      </c>
    </row>
    <row r="29" ht="12.75">
      <c r="M29" s="71"/>
    </row>
    <row r="30" spans="1:14" ht="12.75">
      <c r="A30" s="16" t="s">
        <v>206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2"/>
    </row>
    <row r="31" spans="1:14" ht="12.75">
      <c r="A31" s="1" t="s">
        <v>228</v>
      </c>
      <c r="B31" s="4"/>
      <c r="C31" s="4"/>
      <c r="D31" s="4"/>
      <c r="E31" s="4"/>
      <c r="F31" s="4">
        <v>7280</v>
      </c>
      <c r="G31" s="4"/>
      <c r="H31" s="4"/>
      <c r="I31" s="4"/>
      <c r="J31" s="4"/>
      <c r="K31" s="4"/>
      <c r="L31" s="4">
        <v>7280</v>
      </c>
      <c r="M31" s="4"/>
      <c r="N31" s="15">
        <f>SUM(B31:M31)</f>
        <v>14560</v>
      </c>
    </row>
    <row r="32" spans="1:14" ht="12.75">
      <c r="A32" s="1" t="s">
        <v>207</v>
      </c>
      <c r="B32" s="4">
        <f>39721.51+64110.1</f>
        <v>103831.61</v>
      </c>
      <c r="C32" s="4">
        <f>70467.28+64110.1</f>
        <v>134577.38</v>
      </c>
      <c r="D32" s="4">
        <f>55094.39+64110.1</f>
        <v>119204.48999999999</v>
      </c>
      <c r="E32" s="4">
        <v>119204.52</v>
      </c>
      <c r="F32" s="4">
        <f>64110.1+55094.39</f>
        <v>119204.48999999999</v>
      </c>
      <c r="G32" s="4">
        <v>47632.39</v>
      </c>
      <c r="H32" s="4">
        <v>48000</v>
      </c>
      <c r="I32" s="4">
        <v>48000</v>
      </c>
      <c r="J32" s="4">
        <v>48000</v>
      </c>
      <c r="K32" s="4">
        <v>48000</v>
      </c>
      <c r="L32" s="4">
        <v>48000</v>
      </c>
      <c r="M32" s="4">
        <v>48000</v>
      </c>
      <c r="N32" s="15">
        <f>SUM(B32:M32)</f>
        <v>931654.88</v>
      </c>
    </row>
    <row r="33" spans="1:14" ht="12.75">
      <c r="A33" s="1" t="s">
        <v>208</v>
      </c>
      <c r="B33" s="4">
        <f>29104.38+19344.65+11833.45</f>
        <v>60282.479999999996</v>
      </c>
      <c r="C33" s="4">
        <f>29207.59+19413.25+11875.42</f>
        <v>60496.259999999995</v>
      </c>
      <c r="D33" s="4">
        <v>62223.48</v>
      </c>
      <c r="E33" s="4">
        <v>60918.98</v>
      </c>
      <c r="F33" s="4">
        <v>61625.07</v>
      </c>
      <c r="G33" s="4">
        <v>61346.55</v>
      </c>
      <c r="H33" s="4">
        <v>61000</v>
      </c>
      <c r="I33" s="4">
        <v>61000</v>
      </c>
      <c r="J33" s="4">
        <v>61000</v>
      </c>
      <c r="K33" s="4">
        <v>61000</v>
      </c>
      <c r="L33" s="4">
        <v>61000</v>
      </c>
      <c r="M33" s="4">
        <v>61000</v>
      </c>
      <c r="N33" s="15">
        <f>SUM(B33:M33)</f>
        <v>732892.8200000001</v>
      </c>
    </row>
    <row r="34" spans="1:14" s="37" customFormat="1" ht="12.75">
      <c r="A34" s="16" t="s">
        <v>209</v>
      </c>
      <c r="B34" s="7">
        <f>SUM(B30:B33)</f>
        <v>164114.09</v>
      </c>
      <c r="C34" s="7">
        <f aca="true" t="shared" si="8" ref="C34:M34">SUM(C30:C33)</f>
        <v>195073.64</v>
      </c>
      <c r="D34" s="7">
        <f t="shared" si="8"/>
        <v>181427.97</v>
      </c>
      <c r="E34" s="7">
        <f t="shared" si="8"/>
        <v>180123.5</v>
      </c>
      <c r="F34" s="7">
        <f t="shared" si="8"/>
        <v>188109.56</v>
      </c>
      <c r="G34" s="7">
        <f t="shared" si="8"/>
        <v>108978.94</v>
      </c>
      <c r="H34" s="7">
        <f t="shared" si="8"/>
        <v>109000</v>
      </c>
      <c r="I34" s="7">
        <f t="shared" si="8"/>
        <v>109000</v>
      </c>
      <c r="J34" s="7">
        <f t="shared" si="8"/>
        <v>109000</v>
      </c>
      <c r="K34" s="7">
        <f t="shared" si="8"/>
        <v>109000</v>
      </c>
      <c r="L34" s="7">
        <f t="shared" si="8"/>
        <v>116280</v>
      </c>
      <c r="M34" s="7">
        <f t="shared" si="8"/>
        <v>109000</v>
      </c>
      <c r="N34" s="7">
        <f>SUM(B34:M34)</f>
        <v>1679107.7</v>
      </c>
    </row>
    <row r="40" ht="12.75">
      <c r="A40" t="s">
        <v>215</v>
      </c>
    </row>
    <row r="41" spans="1:9" ht="12.75">
      <c r="A41" t="s">
        <v>216</v>
      </c>
      <c r="I41" s="69">
        <v>96000</v>
      </c>
    </row>
    <row r="42" spans="1:10" ht="12.75">
      <c r="A42" t="s">
        <v>217</v>
      </c>
      <c r="J42" s="69">
        <v>170000</v>
      </c>
    </row>
    <row r="43" spans="1:9" ht="12.75">
      <c r="A43" t="s">
        <v>218</v>
      </c>
      <c r="H43" s="69">
        <v>291000</v>
      </c>
      <c r="I43" s="69">
        <v>443000</v>
      </c>
    </row>
    <row r="44" spans="1:9" ht="12.75">
      <c r="A44" t="s">
        <v>219</v>
      </c>
      <c r="H44" s="69">
        <v>221800</v>
      </c>
      <c r="I44" s="69">
        <v>336500</v>
      </c>
    </row>
    <row r="45" ht="12.75">
      <c r="A45" t="s">
        <v>220</v>
      </c>
    </row>
    <row r="46" spans="1:14" s="37" customFormat="1" ht="12.75">
      <c r="A46" s="37" t="s">
        <v>224</v>
      </c>
      <c r="B46" s="70"/>
      <c r="C46" s="70"/>
      <c r="D46" s="70"/>
      <c r="E46" s="70"/>
      <c r="F46" s="70"/>
      <c r="G46" s="70"/>
      <c r="H46" s="70">
        <f>SUM(H43:H45)</f>
        <v>512800</v>
      </c>
      <c r="I46" s="70">
        <f>SUM(I41:I45)</f>
        <v>875500</v>
      </c>
      <c r="J46" s="70">
        <f>SUM(J42:J45)</f>
        <v>170000</v>
      </c>
      <c r="K46" s="70"/>
      <c r="L46" s="70"/>
      <c r="M46" s="70"/>
      <c r="N46" s="68"/>
    </row>
    <row r="50" ht="12.75">
      <c r="A50" t="s">
        <v>221</v>
      </c>
    </row>
    <row r="51" spans="1:12" ht="12.75">
      <c r="A51" t="s">
        <v>222</v>
      </c>
      <c r="I51" s="69">
        <v>180000</v>
      </c>
      <c r="L51" s="69">
        <v>180000</v>
      </c>
    </row>
    <row r="54" spans="1:13" ht="12.75">
      <c r="A54" t="s">
        <v>223</v>
      </c>
      <c r="J54" s="69">
        <v>150000</v>
      </c>
      <c r="M54" s="69">
        <v>160000</v>
      </c>
    </row>
  </sheetData>
  <sheetProtection/>
  <printOptions gridLines="1" horizontalCentered="1" verticalCentered="1"/>
  <pageMargins left="0.7480314960629921" right="0.2362204724409449" top="0.2755905511811024" bottom="0.2362204724409449" header="0.15748031496062992" footer="0.1968503937007874"/>
  <pageSetup fitToHeight="1" fitToWidth="1" horizontalDpi="600" verticalDpi="600" orientation="landscape" paperSize="9" scale="68" r:id="rId1"/>
  <headerFooter alignWithMargins="0">
    <oddHeader>&amp;RRahavood 2010.a.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pane xSplit="8" ySplit="2" topLeftCell="R35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T5" sqref="T5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26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94</v>
      </c>
      <c r="O2" s="5" t="s">
        <v>247</v>
      </c>
      <c r="P2" s="5" t="s">
        <v>96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25865.6</v>
      </c>
      <c r="G3" s="4">
        <f>G4+G8+G12</f>
        <v>31532</v>
      </c>
      <c r="H3" s="7">
        <f>SUM(I3:T3)</f>
        <v>33308.3</v>
      </c>
      <c r="I3" s="40">
        <f>I4+I8+I12</f>
        <v>1919.7</v>
      </c>
      <c r="J3" s="40">
        <f>J4+J8+J12</f>
        <v>1805.25</v>
      </c>
      <c r="K3" s="40">
        <f>K4+K8+K12</f>
        <v>4754.750000000001</v>
      </c>
      <c r="L3" s="40">
        <f>L4+L8+L12</f>
        <v>2110.4</v>
      </c>
      <c r="M3" s="40">
        <f aca="true" t="shared" si="0" ref="M3:T3">M4+M8+M12</f>
        <v>1919.6499999999999</v>
      </c>
      <c r="N3" s="4">
        <f t="shared" si="0"/>
        <v>4716.6</v>
      </c>
      <c r="O3" s="4">
        <f t="shared" si="0"/>
        <v>1919.65</v>
      </c>
      <c r="P3" s="4">
        <f t="shared" si="0"/>
        <v>1614.55</v>
      </c>
      <c r="Q3" s="4">
        <f t="shared" si="0"/>
        <v>4277.950000000001</v>
      </c>
      <c r="R3" s="4">
        <f t="shared" si="0"/>
        <v>1938.7</v>
      </c>
      <c r="S3" s="4">
        <f t="shared" si="0"/>
        <v>1938.7</v>
      </c>
      <c r="T3" s="4">
        <f t="shared" si="0"/>
        <v>4392.400000000001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25865.6</v>
      </c>
      <c r="G4" s="4">
        <f>G5</f>
        <v>31532</v>
      </c>
      <c r="H4" s="7">
        <f aca="true" t="shared" si="1" ref="H4:H60">SUM(I4:T4)</f>
        <v>33308.3</v>
      </c>
      <c r="I4" s="40">
        <f>I5</f>
        <v>1919.7</v>
      </c>
      <c r="J4" s="40">
        <f>J5</f>
        <v>1805.25</v>
      </c>
      <c r="K4" s="40">
        <f>K5</f>
        <v>4754.750000000001</v>
      </c>
      <c r="L4" s="40">
        <f>L5</f>
        <v>2110.4</v>
      </c>
      <c r="M4" s="40">
        <f aca="true" t="shared" si="2" ref="M4:T4">M5</f>
        <v>1919.6499999999999</v>
      </c>
      <c r="N4" s="4">
        <f t="shared" si="2"/>
        <v>4716.6</v>
      </c>
      <c r="O4" s="4">
        <f t="shared" si="2"/>
        <v>1919.65</v>
      </c>
      <c r="P4" s="4">
        <f t="shared" si="2"/>
        <v>1614.55</v>
      </c>
      <c r="Q4" s="4">
        <f t="shared" si="2"/>
        <v>4277.950000000001</v>
      </c>
      <c r="R4" s="4">
        <f t="shared" si="2"/>
        <v>1938.7</v>
      </c>
      <c r="S4" s="4">
        <f t="shared" si="2"/>
        <v>1938.7</v>
      </c>
      <c r="T4" s="4">
        <f t="shared" si="2"/>
        <v>4392.400000000001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25865.6</v>
      </c>
      <c r="G5" s="4">
        <f>G7</f>
        <v>31532</v>
      </c>
      <c r="H5" s="7">
        <f t="shared" si="1"/>
        <v>33308.3</v>
      </c>
      <c r="I5" s="40">
        <f>I7</f>
        <v>1919.7</v>
      </c>
      <c r="J5" s="40">
        <f>J7</f>
        <v>1805.25</v>
      </c>
      <c r="K5" s="40">
        <f>K7</f>
        <v>4754.750000000001</v>
      </c>
      <c r="L5" s="40">
        <f>L7</f>
        <v>2110.4</v>
      </c>
      <c r="M5" s="40">
        <f aca="true" t="shared" si="3" ref="M5:T5">M7</f>
        <v>1919.6499999999999</v>
      </c>
      <c r="N5" s="4">
        <f t="shared" si="3"/>
        <v>4716.6</v>
      </c>
      <c r="O5" s="4">
        <f t="shared" si="3"/>
        <v>1919.65</v>
      </c>
      <c r="P5" s="4">
        <f t="shared" si="3"/>
        <v>1614.55</v>
      </c>
      <c r="Q5" s="4">
        <f t="shared" si="3"/>
        <v>4277.950000000001</v>
      </c>
      <c r="R5" s="4">
        <f t="shared" si="3"/>
        <v>1938.7</v>
      </c>
      <c r="S5" s="4">
        <f t="shared" si="3"/>
        <v>1938.7</v>
      </c>
      <c r="T5" s="4">
        <f t="shared" si="3"/>
        <v>4392.400000000001</v>
      </c>
    </row>
    <row r="6" spans="1:20" s="11" customFormat="1" ht="11.25">
      <c r="A6" s="8"/>
      <c r="B6" s="8"/>
      <c r="C6" s="8"/>
      <c r="D6" s="8"/>
      <c r="E6" s="8" t="s">
        <v>135</v>
      </c>
      <c r="F6" s="9">
        <v>1658</v>
      </c>
      <c r="G6" s="9">
        <v>1676</v>
      </c>
      <c r="H6" s="10">
        <f t="shared" si="1"/>
        <v>1724</v>
      </c>
      <c r="I6" s="41">
        <f aca="true" t="shared" si="4" ref="I6:T6">I77</f>
        <v>98</v>
      </c>
      <c r="J6" s="41">
        <f t="shared" si="4"/>
        <v>92</v>
      </c>
      <c r="K6" s="41">
        <f t="shared" si="4"/>
        <v>244</v>
      </c>
      <c r="L6" s="41">
        <f t="shared" si="4"/>
        <v>108</v>
      </c>
      <c r="M6" s="41">
        <f t="shared" si="4"/>
        <v>98</v>
      </c>
      <c r="N6" s="9">
        <f t="shared" si="4"/>
        <v>242</v>
      </c>
      <c r="O6" s="9">
        <f t="shared" si="4"/>
        <v>108</v>
      </c>
      <c r="P6" s="9">
        <f t="shared" si="4"/>
        <v>92</v>
      </c>
      <c r="Q6" s="9">
        <f t="shared" si="4"/>
        <v>219</v>
      </c>
      <c r="R6" s="9">
        <f t="shared" si="4"/>
        <v>99</v>
      </c>
      <c r="S6" s="9">
        <f t="shared" si="4"/>
        <v>99</v>
      </c>
      <c r="T6" s="9">
        <f t="shared" si="4"/>
        <v>225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25865.6</v>
      </c>
      <c r="G7" s="13">
        <v>31532</v>
      </c>
      <c r="H7" s="10">
        <f t="shared" si="1"/>
        <v>33308.3</v>
      </c>
      <c r="I7" s="38">
        <f>I78+I80+I82</f>
        <v>1919.7</v>
      </c>
      <c r="J7" s="38">
        <f>J78+J80+J82</f>
        <v>1805.25</v>
      </c>
      <c r="K7" s="38">
        <f aca="true" t="shared" si="5" ref="K7:T7">K78+K80+K82</f>
        <v>4754.750000000001</v>
      </c>
      <c r="L7" s="38">
        <f t="shared" si="5"/>
        <v>2110.4</v>
      </c>
      <c r="M7" s="38">
        <f t="shared" si="5"/>
        <v>1919.6499999999999</v>
      </c>
      <c r="N7" s="38">
        <f t="shared" si="5"/>
        <v>4716.6</v>
      </c>
      <c r="O7" s="38">
        <v>1919.65</v>
      </c>
      <c r="P7" s="38">
        <f t="shared" si="5"/>
        <v>1614.55</v>
      </c>
      <c r="Q7" s="38">
        <f t="shared" si="5"/>
        <v>4277.950000000001</v>
      </c>
      <c r="R7" s="38">
        <f t="shared" si="5"/>
        <v>1938.7</v>
      </c>
      <c r="S7" s="38">
        <f t="shared" si="5"/>
        <v>1938.7</v>
      </c>
      <c r="T7" s="38">
        <f t="shared" si="5"/>
        <v>4392.400000000001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6" ref="M8:T8">M9+M11</f>
        <v>0</v>
      </c>
      <c r="N8" s="4">
        <f t="shared" si="6"/>
        <v>0</v>
      </c>
      <c r="O8" s="4">
        <f t="shared" si="6"/>
        <v>0</v>
      </c>
      <c r="P8" s="4">
        <f t="shared" si="6"/>
        <v>0</v>
      </c>
      <c r="Q8" s="4">
        <f t="shared" si="6"/>
        <v>0</v>
      </c>
      <c r="R8" s="4">
        <f t="shared" si="6"/>
        <v>0</v>
      </c>
      <c r="S8" s="4">
        <f t="shared" si="6"/>
        <v>0</v>
      </c>
      <c r="T8" s="4">
        <f t="shared" si="6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7" ref="M9:T9">M10</f>
        <v>0</v>
      </c>
      <c r="N9" s="4">
        <f t="shared" si="7"/>
        <v>0</v>
      </c>
      <c r="O9" s="4">
        <f t="shared" si="7"/>
        <v>0</v>
      </c>
      <c r="P9" s="4">
        <f t="shared" si="7"/>
        <v>0</v>
      </c>
      <c r="Q9" s="4">
        <f t="shared" si="7"/>
        <v>0</v>
      </c>
      <c r="R9" s="4">
        <f t="shared" si="7"/>
        <v>0</v>
      </c>
      <c r="S9" s="4">
        <f t="shared" si="7"/>
        <v>0</v>
      </c>
      <c r="T9" s="4">
        <f t="shared" si="7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0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8" ref="I12:T13">I13</f>
        <v>0</v>
      </c>
      <c r="J12" s="40">
        <f t="shared" si="8"/>
        <v>0</v>
      </c>
      <c r="K12" s="40">
        <f t="shared" si="8"/>
        <v>0</v>
      </c>
      <c r="L12" s="40">
        <f t="shared" si="8"/>
        <v>0</v>
      </c>
      <c r="M12" s="40">
        <f t="shared" si="8"/>
        <v>0</v>
      </c>
      <c r="N12" s="4">
        <f t="shared" si="8"/>
        <v>0</v>
      </c>
      <c r="O12" s="4">
        <f t="shared" si="8"/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 t="shared" si="8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8"/>
        <v>0</v>
      </c>
      <c r="J13" s="40">
        <f t="shared" si="8"/>
        <v>0</v>
      </c>
      <c r="K13" s="40">
        <f t="shared" si="8"/>
        <v>0</v>
      </c>
      <c r="L13" s="40">
        <f t="shared" si="8"/>
        <v>0</v>
      </c>
      <c r="M13" s="40">
        <f t="shared" si="8"/>
        <v>0</v>
      </c>
      <c r="N13" s="4">
        <f t="shared" si="8"/>
        <v>0</v>
      </c>
      <c r="O13" s="4">
        <f t="shared" si="8"/>
        <v>0</v>
      </c>
      <c r="P13" s="4">
        <f t="shared" si="8"/>
        <v>0</v>
      </c>
      <c r="Q13" s="4">
        <f t="shared" si="8"/>
        <v>0</v>
      </c>
      <c r="R13" s="4">
        <f t="shared" si="8"/>
        <v>0</v>
      </c>
      <c r="S13" s="4">
        <f t="shared" si="8"/>
        <v>0</v>
      </c>
      <c r="T13" s="4">
        <f t="shared" si="8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9" ref="I15:T16">I16</f>
        <v>0</v>
      </c>
      <c r="J15" s="40">
        <f t="shared" si="9"/>
        <v>0</v>
      </c>
      <c r="K15" s="40">
        <f t="shared" si="9"/>
        <v>0</v>
      </c>
      <c r="L15" s="40">
        <f t="shared" si="9"/>
        <v>0</v>
      </c>
      <c r="M15" s="40">
        <f t="shared" si="9"/>
        <v>0</v>
      </c>
      <c r="N15" s="4">
        <f t="shared" si="9"/>
        <v>0</v>
      </c>
      <c r="O15" s="4">
        <f t="shared" si="9"/>
        <v>0</v>
      </c>
      <c r="P15" s="4">
        <f t="shared" si="9"/>
        <v>0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4">
        <f t="shared" si="9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9"/>
        <v>0</v>
      </c>
      <c r="J16" s="40">
        <f t="shared" si="9"/>
        <v>0</v>
      </c>
      <c r="K16" s="40">
        <f t="shared" si="9"/>
        <v>0</v>
      </c>
      <c r="L16" s="40">
        <f t="shared" si="9"/>
        <v>0</v>
      </c>
      <c r="M16" s="40">
        <f t="shared" si="9"/>
        <v>0</v>
      </c>
      <c r="N16" s="4">
        <f t="shared" si="9"/>
        <v>0</v>
      </c>
      <c r="O16" s="4">
        <f t="shared" si="9"/>
        <v>0</v>
      </c>
      <c r="P16" s="4">
        <f t="shared" si="9"/>
        <v>0</v>
      </c>
      <c r="Q16" s="4">
        <f t="shared" si="9"/>
        <v>0</v>
      </c>
      <c r="R16" s="4">
        <f t="shared" si="9"/>
        <v>0</v>
      </c>
      <c r="S16" s="4">
        <f t="shared" si="9"/>
        <v>0</v>
      </c>
      <c r="T16" s="4">
        <f t="shared" si="9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-21088.11</v>
      </c>
      <c r="G18" s="4">
        <f>G19+G27</f>
        <v>-19259.370000000003</v>
      </c>
      <c r="H18" s="7">
        <f t="shared" si="1"/>
        <v>-12164.89</v>
      </c>
      <c r="I18" s="40">
        <f>I19+I27</f>
        <v>-1137.46</v>
      </c>
      <c r="J18" s="40">
        <f>J19+J27</f>
        <v>-1163.51</v>
      </c>
      <c r="K18" s="40">
        <f>K19+K27</f>
        <v>-4465.639999999999</v>
      </c>
      <c r="L18" s="40">
        <f>L19+L27</f>
        <v>-1190.17</v>
      </c>
      <c r="M18" s="40">
        <f aca="true" t="shared" si="10" ref="M18:T18">M19+M27</f>
        <v>-1022.7099999999999</v>
      </c>
      <c r="N18" s="4">
        <f t="shared" si="10"/>
        <v>0</v>
      </c>
      <c r="O18" s="4">
        <f t="shared" si="10"/>
        <v>-989</v>
      </c>
      <c r="P18" s="4">
        <f t="shared" si="10"/>
        <v>0</v>
      </c>
      <c r="Q18" s="4">
        <f t="shared" si="10"/>
        <v>0</v>
      </c>
      <c r="R18" s="4">
        <f t="shared" si="10"/>
        <v>-989</v>
      </c>
      <c r="S18" s="4">
        <f t="shared" si="10"/>
        <v>-31.15</v>
      </c>
      <c r="T18" s="4">
        <f t="shared" si="10"/>
        <v>-1176.25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-11575.9</v>
      </c>
      <c r="G19" s="4">
        <f>G20+G26+G23</f>
        <v>-10619.85</v>
      </c>
      <c r="H19" s="7">
        <f t="shared" si="1"/>
        <v>-4940.7</v>
      </c>
      <c r="I19" s="40">
        <f>I20+I26+I23</f>
        <v>-927</v>
      </c>
      <c r="J19" s="40">
        <f>J20+J26+J23</f>
        <v>-927</v>
      </c>
      <c r="K19" s="40">
        <f>K20+K26+K23</f>
        <v>-927</v>
      </c>
      <c r="L19" s="40">
        <f>L20+L26+L23</f>
        <v>-927</v>
      </c>
      <c r="M19" s="40">
        <f aca="true" t="shared" si="11" ref="M19:T19">M20+M26+M23</f>
        <v>-1014.3</v>
      </c>
      <c r="N19" s="4">
        <f t="shared" si="11"/>
        <v>0</v>
      </c>
      <c r="O19" s="4">
        <f t="shared" si="11"/>
        <v>0</v>
      </c>
      <c r="P19" s="4">
        <f t="shared" si="11"/>
        <v>0</v>
      </c>
      <c r="Q19" s="4">
        <f t="shared" si="11"/>
        <v>0</v>
      </c>
      <c r="R19" s="4">
        <f t="shared" si="11"/>
        <v>0</v>
      </c>
      <c r="S19" s="4">
        <f t="shared" si="11"/>
        <v>-31.15</v>
      </c>
      <c r="T19" s="4">
        <f t="shared" si="11"/>
        <v>-187.25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-8680.01</v>
      </c>
      <c r="G20" s="4">
        <f>SUM(G21:G22)</f>
        <v>-7938.85</v>
      </c>
      <c r="H20" s="7">
        <f t="shared" si="1"/>
        <v>-3684.7000000000003</v>
      </c>
      <c r="I20" s="40">
        <f>SUM(I21:I22)</f>
        <v>-690</v>
      </c>
      <c r="J20" s="40">
        <f>SUM(J21:J22)</f>
        <v>-690</v>
      </c>
      <c r="K20" s="40">
        <f>SUM(K21:K22)</f>
        <v>-690</v>
      </c>
      <c r="L20" s="40">
        <f>SUM(L21:L22)</f>
        <v>-690</v>
      </c>
      <c r="M20" s="40">
        <f aca="true" t="shared" si="12" ref="M20:T20">SUM(M21:M22)</f>
        <v>-761.3</v>
      </c>
      <c r="N20" s="4">
        <f t="shared" si="12"/>
        <v>0</v>
      </c>
      <c r="O20" s="4">
        <f t="shared" si="12"/>
        <v>0</v>
      </c>
      <c r="P20" s="4">
        <f t="shared" si="12"/>
        <v>0</v>
      </c>
      <c r="Q20" s="4">
        <f t="shared" si="12"/>
        <v>0</v>
      </c>
      <c r="R20" s="4">
        <f t="shared" si="12"/>
        <v>0</v>
      </c>
      <c r="S20" s="4">
        <f t="shared" si="12"/>
        <v>-24.15</v>
      </c>
      <c r="T20" s="4">
        <f t="shared" si="12"/>
        <v>-139.25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-8680.01</v>
      </c>
      <c r="G21" s="13">
        <v>-7938.85</v>
      </c>
      <c r="H21" s="10">
        <f t="shared" si="1"/>
        <v>-3684.7000000000003</v>
      </c>
      <c r="I21" s="38">
        <v>-690</v>
      </c>
      <c r="J21" s="38">
        <v>-690</v>
      </c>
      <c r="K21" s="38">
        <v>-690</v>
      </c>
      <c r="L21" s="38">
        <v>-690</v>
      </c>
      <c r="M21" s="38">
        <v>-761.3</v>
      </c>
      <c r="N21" s="13"/>
      <c r="O21" s="13"/>
      <c r="P21" s="13"/>
      <c r="Q21" s="13"/>
      <c r="R21" s="13"/>
      <c r="S21" s="13">
        <v>-24.15</v>
      </c>
      <c r="T21" s="13">
        <v>-139.25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3" ref="M23:T23">SUM(M24:M25)</f>
        <v>0</v>
      </c>
      <c r="N23" s="15">
        <f t="shared" si="13"/>
        <v>0</v>
      </c>
      <c r="O23" s="15">
        <f t="shared" si="13"/>
        <v>0</v>
      </c>
      <c r="P23" s="15">
        <f t="shared" si="13"/>
        <v>0</v>
      </c>
      <c r="Q23" s="15">
        <f t="shared" si="13"/>
        <v>0</v>
      </c>
      <c r="R23" s="15">
        <f t="shared" si="13"/>
        <v>0</v>
      </c>
      <c r="S23" s="15">
        <f t="shared" si="13"/>
        <v>0</v>
      </c>
      <c r="T23" s="15">
        <f t="shared" si="13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-2895.89</v>
      </c>
      <c r="G26" s="4">
        <v>-2681</v>
      </c>
      <c r="H26" s="7">
        <f t="shared" si="1"/>
        <v>-1256</v>
      </c>
      <c r="I26" s="40">
        <v>-237</v>
      </c>
      <c r="J26" s="40">
        <v>-237</v>
      </c>
      <c r="K26" s="40">
        <v>-237</v>
      </c>
      <c r="L26" s="40">
        <v>-237</v>
      </c>
      <c r="M26" s="40">
        <v>-253</v>
      </c>
      <c r="N26" s="4">
        <v>0</v>
      </c>
      <c r="O26" s="4"/>
      <c r="P26" s="4"/>
      <c r="Q26" s="4"/>
      <c r="R26" s="4"/>
      <c r="S26" s="4">
        <v>-7</v>
      </c>
      <c r="T26" s="4">
        <v>-48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-9512.210000000001</v>
      </c>
      <c r="G27" s="4">
        <f>SUM(G28:G41)</f>
        <v>-8639.52</v>
      </c>
      <c r="H27" s="7">
        <f t="shared" si="1"/>
        <v>-7224.19</v>
      </c>
      <c r="I27" s="40">
        <f>SUM(I28:I41)</f>
        <v>-210.45999999999998</v>
      </c>
      <c r="J27" s="40">
        <f aca="true" t="shared" si="14" ref="J27:T27">SUM(J28:J41)</f>
        <v>-236.51</v>
      </c>
      <c r="K27" s="40">
        <f t="shared" si="14"/>
        <v>-3538.64</v>
      </c>
      <c r="L27" s="40">
        <f t="shared" si="14"/>
        <v>-263.17</v>
      </c>
      <c r="M27" s="40">
        <f t="shared" si="14"/>
        <v>-8.41</v>
      </c>
      <c r="N27" s="4">
        <f t="shared" si="14"/>
        <v>0</v>
      </c>
      <c r="O27" s="4">
        <f t="shared" si="14"/>
        <v>-989</v>
      </c>
      <c r="P27" s="4">
        <f t="shared" si="14"/>
        <v>0</v>
      </c>
      <c r="Q27" s="4">
        <f t="shared" si="14"/>
        <v>0</v>
      </c>
      <c r="R27" s="4">
        <f t="shared" si="14"/>
        <v>-989</v>
      </c>
      <c r="S27" s="4">
        <f t="shared" si="14"/>
        <v>0</v>
      </c>
      <c r="T27" s="4">
        <f t="shared" si="14"/>
        <v>-989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-397.3</v>
      </c>
      <c r="G28" s="13">
        <v>-403</v>
      </c>
      <c r="H28" s="10">
        <f t="shared" si="1"/>
        <v>-116.58999999999999</v>
      </c>
      <c r="I28" s="38">
        <v>-36.07</v>
      </c>
      <c r="J28" s="38">
        <v>-16.36</v>
      </c>
      <c r="K28" s="38">
        <v>-23.61</v>
      </c>
      <c r="L28" s="38">
        <v>-32.14</v>
      </c>
      <c r="M28" s="38">
        <v>-8.41</v>
      </c>
      <c r="N28" s="13"/>
      <c r="O28" s="13"/>
      <c r="P28" s="13"/>
      <c r="Q28" s="13"/>
      <c r="R28" s="13">
        <v>0</v>
      </c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/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-3661.24</v>
      </c>
      <c r="G31" s="13">
        <v>-3579</v>
      </c>
      <c r="H31" s="10">
        <f t="shared" si="1"/>
        <v>-6268.83</v>
      </c>
      <c r="I31" s="38"/>
      <c r="J31" s="38"/>
      <c r="K31" s="38">
        <v>-3301.83</v>
      </c>
      <c r="L31" s="38"/>
      <c r="M31" s="38"/>
      <c r="N31" s="13"/>
      <c r="O31" s="13">
        <v>-989</v>
      </c>
      <c r="P31" s="13"/>
      <c r="Q31" s="13"/>
      <c r="R31" s="13">
        <v>-989</v>
      </c>
      <c r="S31" s="13"/>
      <c r="T31" s="13">
        <v>-989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-5417.06</v>
      </c>
      <c r="G32" s="13">
        <v>-4657.52</v>
      </c>
      <c r="H32" s="10">
        <f t="shared" si="1"/>
        <v>-838.77</v>
      </c>
      <c r="I32" s="38">
        <v>-174.39</v>
      </c>
      <c r="J32" s="38">
        <v>-220.15</v>
      </c>
      <c r="K32" s="38">
        <v>-213.2</v>
      </c>
      <c r="L32" s="38">
        <v>-231.03</v>
      </c>
      <c r="M32" s="38"/>
      <c r="N32" s="13"/>
      <c r="O32" s="13"/>
      <c r="P32" s="13"/>
      <c r="Q32" s="13"/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>
        <v>-30</v>
      </c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-6.61</v>
      </c>
      <c r="G34" s="13"/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/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0</v>
      </c>
      <c r="G38" s="13"/>
      <c r="H38" s="10">
        <f t="shared" si="1"/>
        <v>0</v>
      </c>
      <c r="I38" s="38"/>
      <c r="J38" s="38">
        <f>(J81+J84)*-1</f>
        <v>0</v>
      </c>
      <c r="K38" s="38">
        <v>0</v>
      </c>
      <c r="L38" s="38">
        <f>(L81+L84)*-1</f>
        <v>0</v>
      </c>
      <c r="M38" s="38">
        <f aca="true" t="shared" si="15" ref="M38:R38">(M81+M84)*-1</f>
        <v>0</v>
      </c>
      <c r="N38" s="13">
        <v>0</v>
      </c>
      <c r="O38" s="13">
        <f t="shared" si="15"/>
        <v>0</v>
      </c>
      <c r="P38" s="13">
        <f t="shared" si="15"/>
        <v>0</v>
      </c>
      <c r="Q38" s="13">
        <v>0</v>
      </c>
      <c r="R38" s="13">
        <f t="shared" si="15"/>
        <v>0</v>
      </c>
      <c r="S38" s="13"/>
      <c r="T38" s="13">
        <v>0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-4615.59</v>
      </c>
      <c r="G42" s="4">
        <f>G43+G48+G55+G58</f>
        <v>-9682.74</v>
      </c>
      <c r="H42" s="4">
        <f t="shared" si="1"/>
        <v>-4468.3</v>
      </c>
      <c r="I42" s="40">
        <f aca="true" t="shared" si="16" ref="I42:T42">I43+I48+I55+I58</f>
        <v>-222.8</v>
      </c>
      <c r="J42" s="40">
        <f t="shared" si="16"/>
        <v>-55.41</v>
      </c>
      <c r="K42" s="40">
        <f t="shared" si="16"/>
        <v>-807.02</v>
      </c>
      <c r="L42" s="40">
        <f t="shared" si="16"/>
        <v>-55.63</v>
      </c>
      <c r="M42" s="40">
        <f t="shared" si="16"/>
        <v>-68.24</v>
      </c>
      <c r="N42" s="4">
        <f t="shared" si="16"/>
        <v>-1009.24</v>
      </c>
      <c r="O42" s="4">
        <f t="shared" si="16"/>
        <v>-251.7</v>
      </c>
      <c r="P42" s="4">
        <f t="shared" si="16"/>
        <v>-53.1</v>
      </c>
      <c r="Q42" s="4">
        <f t="shared" si="16"/>
        <v>-912.42</v>
      </c>
      <c r="R42" s="4">
        <f>R43+R48+R55+R58</f>
        <v>-50</v>
      </c>
      <c r="S42" s="4">
        <f t="shared" si="16"/>
        <v>-229</v>
      </c>
      <c r="T42" s="4">
        <f t="shared" si="16"/>
        <v>-753.74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-4615.59</v>
      </c>
      <c r="G43" s="4">
        <f>G44+G46+G47</f>
        <v>-9269.83</v>
      </c>
      <c r="H43" s="7">
        <f t="shared" si="1"/>
        <v>-3836.3499999999995</v>
      </c>
      <c r="I43" s="40">
        <f aca="true" t="shared" si="17" ref="I43:T43">I44+I46+I47</f>
        <v>-166</v>
      </c>
      <c r="J43" s="40">
        <f t="shared" si="17"/>
        <v>0</v>
      </c>
      <c r="K43" s="40">
        <f t="shared" si="17"/>
        <v>-751</v>
      </c>
      <c r="L43" s="40">
        <f t="shared" si="17"/>
        <v>0</v>
      </c>
      <c r="M43" s="40">
        <f t="shared" si="17"/>
        <v>-14</v>
      </c>
      <c r="N43" s="4">
        <f t="shared" si="17"/>
        <v>-953.39</v>
      </c>
      <c r="O43" s="4">
        <f t="shared" si="17"/>
        <v>-201.7</v>
      </c>
      <c r="P43" s="4">
        <f t="shared" si="17"/>
        <v>-4.1</v>
      </c>
      <c r="Q43" s="4">
        <f t="shared" si="17"/>
        <v>-862.42</v>
      </c>
      <c r="R43" s="4">
        <f t="shared" si="17"/>
        <v>0</v>
      </c>
      <c r="S43" s="4">
        <f t="shared" si="17"/>
        <v>-180</v>
      </c>
      <c r="T43" s="4">
        <f t="shared" si="17"/>
        <v>-703.74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-4615.59</v>
      </c>
      <c r="G44" s="4">
        <f>G45</f>
        <v>-9269.83</v>
      </c>
      <c r="H44" s="7">
        <f t="shared" si="1"/>
        <v>-3836.3499999999995</v>
      </c>
      <c r="I44" s="40">
        <f>I45</f>
        <v>-166</v>
      </c>
      <c r="J44" s="40">
        <f>J45</f>
        <v>0</v>
      </c>
      <c r="K44" s="40">
        <f>K45</f>
        <v>-751</v>
      </c>
      <c r="L44" s="40">
        <f>L45</f>
        <v>0</v>
      </c>
      <c r="M44" s="40">
        <f aca="true" t="shared" si="18" ref="M44:T44">M45</f>
        <v>-14</v>
      </c>
      <c r="N44" s="4">
        <f t="shared" si="18"/>
        <v>-953.39</v>
      </c>
      <c r="O44" s="4">
        <f t="shared" si="18"/>
        <v>-201.7</v>
      </c>
      <c r="P44" s="4">
        <f t="shared" si="18"/>
        <v>-4.1</v>
      </c>
      <c r="Q44" s="4">
        <f t="shared" si="18"/>
        <v>-862.42</v>
      </c>
      <c r="R44" s="4">
        <f t="shared" si="18"/>
        <v>0</v>
      </c>
      <c r="S44" s="4">
        <f t="shared" si="18"/>
        <v>-180</v>
      </c>
      <c r="T44" s="4">
        <f t="shared" si="18"/>
        <v>-703.74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-4615.59</v>
      </c>
      <c r="G45" s="13">
        <v>-9269.83</v>
      </c>
      <c r="H45" s="10">
        <f t="shared" si="1"/>
        <v>-3836.3499999999995</v>
      </c>
      <c r="I45" s="38">
        <v>-166</v>
      </c>
      <c r="J45" s="38"/>
      <c r="K45" s="38">
        <v>-751</v>
      </c>
      <c r="L45" s="38"/>
      <c r="M45" s="38">
        <v>-14</v>
      </c>
      <c r="N45" s="13">
        <v>-953.39</v>
      </c>
      <c r="O45" s="13">
        <v>-201.7</v>
      </c>
      <c r="P45" s="13">
        <v>-4.1</v>
      </c>
      <c r="Q45" s="13">
        <v>-862.42</v>
      </c>
      <c r="R45" s="13"/>
      <c r="S45" s="13">
        <v>-180</v>
      </c>
      <c r="T45" s="13">
        <v>-703.74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0</v>
      </c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0</v>
      </c>
      <c r="G48" s="4">
        <f>G54+G49</f>
        <v>-349</v>
      </c>
      <c r="H48" s="7">
        <f t="shared" si="1"/>
        <v>-597</v>
      </c>
      <c r="I48" s="40">
        <f>I54+I49</f>
        <v>-50</v>
      </c>
      <c r="J48" s="40">
        <f>J54+J49</f>
        <v>-49</v>
      </c>
      <c r="K48" s="40">
        <f>K54+K49</f>
        <v>-50</v>
      </c>
      <c r="L48" s="40">
        <f>L54+L49</f>
        <v>-50</v>
      </c>
      <c r="M48" s="40">
        <f aca="true" t="shared" si="19" ref="M48:T48">M54+M49</f>
        <v>-49</v>
      </c>
      <c r="N48" s="4">
        <f t="shared" si="19"/>
        <v>-51</v>
      </c>
      <c r="O48" s="4">
        <f t="shared" si="19"/>
        <v>-50</v>
      </c>
      <c r="P48" s="4">
        <f t="shared" si="19"/>
        <v>-49</v>
      </c>
      <c r="Q48" s="4">
        <f t="shared" si="19"/>
        <v>-50</v>
      </c>
      <c r="R48" s="4">
        <f t="shared" si="19"/>
        <v>-50</v>
      </c>
      <c r="S48" s="4">
        <f t="shared" si="19"/>
        <v>-49</v>
      </c>
      <c r="T48" s="4">
        <f t="shared" si="19"/>
        <v>-50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0</v>
      </c>
      <c r="G49" s="4">
        <f>SUM(G50:G53)</f>
        <v>-349</v>
      </c>
      <c r="H49" s="7">
        <f t="shared" si="1"/>
        <v>-597</v>
      </c>
      <c r="I49" s="40">
        <f>SUM(I50:I53)</f>
        <v>-50</v>
      </c>
      <c r="J49" s="40">
        <f>SUM(J50:J53)</f>
        <v>-49</v>
      </c>
      <c r="K49" s="40">
        <f>SUM(K50:K53)</f>
        <v>-50</v>
      </c>
      <c r="L49" s="40">
        <f>SUM(L50:L53)</f>
        <v>-50</v>
      </c>
      <c r="M49" s="40">
        <f aca="true" t="shared" si="20" ref="M49:T49">SUM(M50:M53)</f>
        <v>-49</v>
      </c>
      <c r="N49" s="4">
        <f t="shared" si="20"/>
        <v>-51</v>
      </c>
      <c r="O49" s="4">
        <f t="shared" si="20"/>
        <v>-50</v>
      </c>
      <c r="P49" s="4">
        <f t="shared" si="20"/>
        <v>-49</v>
      </c>
      <c r="Q49" s="4">
        <f t="shared" si="20"/>
        <v>-50</v>
      </c>
      <c r="R49" s="4">
        <f t="shared" si="20"/>
        <v>-50</v>
      </c>
      <c r="S49" s="4">
        <f t="shared" si="20"/>
        <v>-49</v>
      </c>
      <c r="T49" s="4">
        <f t="shared" si="20"/>
        <v>-50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/>
      <c r="G50" s="13"/>
      <c r="H50" s="10">
        <f t="shared" si="1"/>
        <v>0</v>
      </c>
      <c r="I50" s="38"/>
      <c r="J50" s="38"/>
      <c r="K50" s="38"/>
      <c r="L50" s="38"/>
      <c r="M50" s="38"/>
      <c r="N50" s="13"/>
      <c r="O50" s="13"/>
      <c r="P50" s="13"/>
      <c r="Q50" s="13"/>
      <c r="R50" s="13"/>
      <c r="S50" s="13"/>
      <c r="T50" s="13"/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>
        <v>-349</v>
      </c>
      <c r="H51" s="10">
        <f t="shared" si="1"/>
        <v>-597</v>
      </c>
      <c r="I51" s="38">
        <v>-50</v>
      </c>
      <c r="J51" s="38">
        <v>-49</v>
      </c>
      <c r="K51" s="38">
        <v>-50</v>
      </c>
      <c r="L51" s="38">
        <v>-50</v>
      </c>
      <c r="M51" s="38">
        <v>-49</v>
      </c>
      <c r="N51" s="13">
        <v>-51</v>
      </c>
      <c r="O51" s="13">
        <v>-50</v>
      </c>
      <c r="P51" s="13">
        <v>-49</v>
      </c>
      <c r="Q51" s="13">
        <v>-50</v>
      </c>
      <c r="R51" s="13">
        <v>-50</v>
      </c>
      <c r="S51" s="13">
        <v>-49</v>
      </c>
      <c r="T51" s="13">
        <v>-50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-63.91</v>
      </c>
      <c r="H55" s="7">
        <f t="shared" si="1"/>
        <v>-34.95</v>
      </c>
      <c r="I55" s="40">
        <f>I57+I56</f>
        <v>-6.8</v>
      </c>
      <c r="J55" s="40">
        <f>J57+J56</f>
        <v>-6.41</v>
      </c>
      <c r="K55" s="40">
        <f>K57+K56</f>
        <v>-6.02</v>
      </c>
      <c r="L55" s="40">
        <f>L57+L56</f>
        <v>-5.63</v>
      </c>
      <c r="M55" s="40">
        <f aca="true" t="shared" si="21" ref="M55:T55">M57+M56</f>
        <v>-5.24</v>
      </c>
      <c r="N55" s="4">
        <f t="shared" si="21"/>
        <v>-4.85</v>
      </c>
      <c r="O55" s="4">
        <f t="shared" si="21"/>
        <v>0</v>
      </c>
      <c r="P55" s="4">
        <f t="shared" si="21"/>
        <v>0</v>
      </c>
      <c r="Q55" s="4">
        <f t="shared" si="21"/>
        <v>0</v>
      </c>
      <c r="R55" s="4">
        <f t="shared" si="21"/>
        <v>0</v>
      </c>
      <c r="S55" s="4">
        <f t="shared" si="21"/>
        <v>0</v>
      </c>
      <c r="T55" s="4">
        <f t="shared" si="21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>
        <v>-63.91</v>
      </c>
      <c r="H56" s="7">
        <f t="shared" si="1"/>
        <v>-34.95</v>
      </c>
      <c r="I56" s="40">
        <v>-6.8</v>
      </c>
      <c r="J56" s="40">
        <v>-6.41</v>
      </c>
      <c r="K56" s="40">
        <v>-6.02</v>
      </c>
      <c r="L56" s="40">
        <v>-5.63</v>
      </c>
      <c r="M56" s="40">
        <v>-5.24</v>
      </c>
      <c r="N56" s="4">
        <v>-4.85</v>
      </c>
      <c r="O56" s="4"/>
      <c r="P56" s="4">
        <v>0</v>
      </c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161.89999999999782</v>
      </c>
      <c r="G59" s="7">
        <f>G3+G15+G18+G42</f>
        <v>2589.8899999999976</v>
      </c>
      <c r="H59" s="7">
        <f t="shared" si="1"/>
        <v>16675.110000000004</v>
      </c>
      <c r="I59" s="43">
        <f>I3+I15+I18+I42</f>
        <v>559.44</v>
      </c>
      <c r="J59" s="43">
        <f>J3+J15+J18+J42</f>
        <v>586.33</v>
      </c>
      <c r="K59" s="43">
        <f>K3+K15+K18+K42</f>
        <v>-517.9099999999985</v>
      </c>
      <c r="L59" s="43">
        <f>L3+L15+L18+L42</f>
        <v>864.6</v>
      </c>
      <c r="M59" s="43">
        <f aca="true" t="shared" si="22" ref="M59:T59">M3+M15+M18+M42</f>
        <v>828.6999999999999</v>
      </c>
      <c r="N59" s="7">
        <f t="shared" si="22"/>
        <v>3707.3600000000006</v>
      </c>
      <c r="O59" s="7">
        <f t="shared" si="22"/>
        <v>678.95</v>
      </c>
      <c r="P59" s="7">
        <f t="shared" si="22"/>
        <v>1561.45</v>
      </c>
      <c r="Q59" s="7">
        <f t="shared" si="22"/>
        <v>3365.5300000000007</v>
      </c>
      <c r="R59" s="7">
        <f t="shared" si="22"/>
        <v>899.7</v>
      </c>
      <c r="S59" s="7">
        <f t="shared" si="22"/>
        <v>1678.55</v>
      </c>
      <c r="T59" s="7">
        <f t="shared" si="22"/>
        <v>2462.4100000000008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26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94</v>
      </c>
      <c r="O61" s="5" t="s">
        <v>95</v>
      </c>
      <c r="P61" s="5" t="s">
        <v>96</v>
      </c>
      <c r="Q61" s="5" t="s">
        <v>97</v>
      </c>
      <c r="R61" s="5" t="s">
        <v>98</v>
      </c>
      <c r="S61" s="5" t="s">
        <v>267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3660.55</v>
      </c>
      <c r="I62" s="44">
        <f>SUM(I63:I71)</f>
        <v>690</v>
      </c>
      <c r="J62" s="44">
        <f>SUM(J63:J71)</f>
        <v>690</v>
      </c>
      <c r="K62" s="44">
        <f>SUM(K63:K71)</f>
        <v>690</v>
      </c>
      <c r="L62" s="44">
        <f>SUM(L63:L71)</f>
        <v>690</v>
      </c>
      <c r="M62" s="44">
        <f aca="true" t="shared" si="23" ref="M62:T62">SUM(M63:M71)</f>
        <v>761.3</v>
      </c>
      <c r="N62">
        <f t="shared" si="23"/>
        <v>0</v>
      </c>
      <c r="O62">
        <f t="shared" si="23"/>
        <v>0</v>
      </c>
      <c r="P62">
        <f t="shared" si="23"/>
        <v>0</v>
      </c>
      <c r="Q62">
        <f t="shared" si="23"/>
        <v>0</v>
      </c>
      <c r="R62">
        <f t="shared" si="23"/>
        <v>0</v>
      </c>
      <c r="S62">
        <f t="shared" si="23"/>
        <v>0</v>
      </c>
      <c r="T62">
        <f t="shared" si="23"/>
        <v>139.25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3449.9</v>
      </c>
      <c r="I63" s="46">
        <v>690</v>
      </c>
      <c r="J63" s="46">
        <v>690</v>
      </c>
      <c r="K63" s="46">
        <v>690</v>
      </c>
      <c r="L63" s="46">
        <v>690</v>
      </c>
      <c r="M63" s="46">
        <v>689.9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4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4"/>
        <v>139.25</v>
      </c>
      <c r="I65" s="47"/>
      <c r="J65" s="47"/>
      <c r="K65" s="47"/>
      <c r="L65" s="47"/>
      <c r="M65" s="47"/>
      <c r="N65" s="27"/>
      <c r="O65" s="27"/>
      <c r="P65" s="27"/>
      <c r="Q65" s="27"/>
      <c r="R65" s="27"/>
      <c r="S65" s="27"/>
      <c r="T65" s="27">
        <f>136.85+2.4</f>
        <v>139.25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4"/>
        <v>71.4</v>
      </c>
      <c r="I66" s="47"/>
      <c r="J66" s="47"/>
      <c r="K66" s="47"/>
      <c r="L66" s="47"/>
      <c r="M66" s="47">
        <v>71.4</v>
      </c>
      <c r="N66" s="27"/>
      <c r="O66" s="27"/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4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4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4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1208.029</v>
      </c>
      <c r="I72" s="24">
        <f aca="true" t="shared" si="25" ref="I72:S72">I62*33/100</f>
        <v>227.7</v>
      </c>
      <c r="J72" s="24">
        <f t="shared" si="25"/>
        <v>227.7</v>
      </c>
      <c r="K72" s="24">
        <f t="shared" si="25"/>
        <v>227.7</v>
      </c>
      <c r="L72" s="24">
        <f t="shared" si="25"/>
        <v>227.7</v>
      </c>
      <c r="M72" s="24">
        <f t="shared" si="25"/>
        <v>251.22899999999998</v>
      </c>
      <c r="N72" s="24">
        <f t="shared" si="25"/>
        <v>0</v>
      </c>
      <c r="O72" s="24">
        <f t="shared" si="25"/>
        <v>0</v>
      </c>
      <c r="P72" s="24">
        <f t="shared" si="25"/>
        <v>0</v>
      </c>
      <c r="Q72" s="24">
        <f t="shared" si="25"/>
        <v>0</v>
      </c>
      <c r="R72" s="24">
        <f t="shared" si="25"/>
        <v>0</v>
      </c>
      <c r="S72" s="24">
        <f t="shared" si="25"/>
        <v>0</v>
      </c>
      <c r="T72" s="24">
        <v>46</v>
      </c>
    </row>
    <row r="73" spans="5:20" ht="12.75">
      <c r="E73" s="28" t="s">
        <v>74</v>
      </c>
      <c r="F73" s="28"/>
      <c r="G73" s="28"/>
      <c r="H73" s="21">
        <f>SUM(I73:T73)</f>
        <v>51.298199999999994</v>
      </c>
      <c r="I73" s="24">
        <f aca="true" t="shared" si="26" ref="I73:S73">1.4*I62/100</f>
        <v>9.659999999999998</v>
      </c>
      <c r="J73" s="24">
        <f t="shared" si="26"/>
        <v>9.659999999999998</v>
      </c>
      <c r="K73" s="24">
        <f t="shared" si="26"/>
        <v>9.659999999999998</v>
      </c>
      <c r="L73" s="24">
        <f t="shared" si="26"/>
        <v>9.659999999999998</v>
      </c>
      <c r="M73" s="24">
        <f t="shared" si="26"/>
        <v>10.658199999999999</v>
      </c>
      <c r="N73" s="24">
        <f t="shared" si="26"/>
        <v>0</v>
      </c>
      <c r="O73" s="24">
        <f t="shared" si="26"/>
        <v>0</v>
      </c>
      <c r="P73" s="24">
        <f t="shared" si="26"/>
        <v>0</v>
      </c>
      <c r="Q73" s="24">
        <f t="shared" si="26"/>
        <v>0</v>
      </c>
      <c r="R73" s="24">
        <f t="shared" si="26"/>
        <v>0</v>
      </c>
      <c r="S73" s="24">
        <f t="shared" si="26"/>
        <v>0</v>
      </c>
      <c r="T73" s="24">
        <v>2</v>
      </c>
    </row>
    <row r="74" spans="6:20" ht="12.75">
      <c r="F74" s="29"/>
      <c r="G74" s="29"/>
      <c r="H74" s="21">
        <f>SUM(I74:T74)</f>
        <v>4919.8772</v>
      </c>
      <c r="I74" s="24">
        <f aca="true" t="shared" si="27" ref="I74:T74">I62+I72+I73</f>
        <v>927.36</v>
      </c>
      <c r="J74" s="24">
        <f t="shared" si="27"/>
        <v>927.36</v>
      </c>
      <c r="K74" s="24">
        <f t="shared" si="27"/>
        <v>927.36</v>
      </c>
      <c r="L74" s="24">
        <f t="shared" si="27"/>
        <v>927.36</v>
      </c>
      <c r="M74" s="24">
        <f t="shared" si="27"/>
        <v>1023.1872</v>
      </c>
      <c r="N74" s="24">
        <f t="shared" si="27"/>
        <v>0</v>
      </c>
      <c r="O74" s="24">
        <f t="shared" si="27"/>
        <v>0</v>
      </c>
      <c r="P74" s="24">
        <f t="shared" si="27"/>
        <v>0</v>
      </c>
      <c r="Q74" s="24">
        <f t="shared" si="27"/>
        <v>0</v>
      </c>
      <c r="R74" s="24">
        <f t="shared" si="27"/>
        <v>0</v>
      </c>
      <c r="S74" s="24">
        <f t="shared" si="27"/>
        <v>0</v>
      </c>
      <c r="T74" s="24">
        <f t="shared" si="27"/>
        <v>187.25</v>
      </c>
    </row>
    <row r="75" spans="5:20" ht="12.75">
      <c r="E75" s="30" t="s">
        <v>75</v>
      </c>
      <c r="H75" s="21" t="s">
        <v>76</v>
      </c>
      <c r="I75" s="48">
        <v>19.07</v>
      </c>
      <c r="J75" s="48">
        <v>19.07</v>
      </c>
      <c r="K75" s="48">
        <v>19.07</v>
      </c>
      <c r="L75" s="48">
        <v>19.07</v>
      </c>
      <c r="M75" s="48">
        <v>19.07</v>
      </c>
      <c r="N75" s="48">
        <v>19.07</v>
      </c>
      <c r="O75" s="48">
        <v>19.07</v>
      </c>
      <c r="P75" s="48">
        <v>19.07</v>
      </c>
      <c r="Q75" s="48">
        <f>Q78/Q77</f>
        <v>19.06986301369863</v>
      </c>
      <c r="R75" s="48">
        <v>19.07</v>
      </c>
      <c r="S75" s="48">
        <v>19.07</v>
      </c>
      <c r="T75" s="48">
        <v>19.07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8" ref="H77:H96">SUM(I77:T77)</f>
        <v>1724</v>
      </c>
      <c r="I77" s="32">
        <v>98</v>
      </c>
      <c r="J77" s="32">
        <v>92</v>
      </c>
      <c r="K77" s="32">
        <v>244</v>
      </c>
      <c r="L77" s="32">
        <v>108</v>
      </c>
      <c r="M77" s="32">
        <v>98</v>
      </c>
      <c r="N77" s="1">
        <v>242</v>
      </c>
      <c r="O77" s="1">
        <v>108</v>
      </c>
      <c r="P77" s="1">
        <v>92</v>
      </c>
      <c r="Q77" s="1">
        <v>219</v>
      </c>
      <c r="R77" s="1">
        <v>99</v>
      </c>
      <c r="S77" s="1">
        <v>99</v>
      </c>
      <c r="T77" s="1">
        <v>225</v>
      </c>
    </row>
    <row r="78" spans="1:20" ht="12.75">
      <c r="A78" s="1"/>
      <c r="B78" s="1"/>
      <c r="C78" s="1"/>
      <c r="D78" s="1"/>
      <c r="E78" s="32" t="s">
        <v>78</v>
      </c>
      <c r="H78" s="7">
        <f t="shared" si="28"/>
        <v>32495.300000000003</v>
      </c>
      <c r="I78" s="40">
        <v>1868.9</v>
      </c>
      <c r="J78" s="40">
        <v>1754.45</v>
      </c>
      <c r="K78" s="40">
        <v>4653.1</v>
      </c>
      <c r="L78" s="40">
        <v>2059.6</v>
      </c>
      <c r="M78" s="40">
        <v>1868.85</v>
      </c>
      <c r="N78" s="4">
        <v>4614.95</v>
      </c>
      <c r="O78" s="4">
        <v>1868.85</v>
      </c>
      <c r="P78" s="4">
        <v>1563.75</v>
      </c>
      <c r="Q78" s="4">
        <v>4176.3</v>
      </c>
      <c r="R78" s="4">
        <f>R75*R77-0.03</f>
        <v>1887.9</v>
      </c>
      <c r="S78" s="4">
        <v>1887.9</v>
      </c>
      <c r="T78" s="4">
        <f>T75*T77</f>
        <v>4290.75</v>
      </c>
    </row>
    <row r="79" spans="1:20" ht="12.75">
      <c r="A79" s="1"/>
      <c r="B79" s="1"/>
      <c r="C79" s="1"/>
      <c r="D79" s="1"/>
      <c r="E79" s="32" t="s">
        <v>141</v>
      </c>
      <c r="H79" s="7">
        <f t="shared" si="28"/>
        <v>24</v>
      </c>
      <c r="I79" s="40">
        <v>2</v>
      </c>
      <c r="J79" s="40">
        <v>2</v>
      </c>
      <c r="K79" s="40">
        <v>2</v>
      </c>
      <c r="L79" s="40">
        <v>2</v>
      </c>
      <c r="M79" s="40">
        <v>2</v>
      </c>
      <c r="N79" s="4">
        <v>2</v>
      </c>
      <c r="O79" s="4">
        <v>2</v>
      </c>
      <c r="P79" s="4">
        <v>2</v>
      </c>
      <c r="Q79" s="4">
        <v>2</v>
      </c>
      <c r="R79" s="4">
        <v>2</v>
      </c>
      <c r="S79" s="4">
        <v>2</v>
      </c>
      <c r="T79" s="4">
        <v>2</v>
      </c>
    </row>
    <row r="80" spans="1:20" ht="12.75">
      <c r="A80" s="1"/>
      <c r="B80" s="1"/>
      <c r="C80" s="1"/>
      <c r="D80" s="1"/>
      <c r="E80" s="32" t="s">
        <v>142</v>
      </c>
      <c r="H80" s="7">
        <f t="shared" si="28"/>
        <v>609.6</v>
      </c>
      <c r="I80" s="40">
        <v>50.8</v>
      </c>
      <c r="J80" s="40">
        <v>50.8</v>
      </c>
      <c r="K80" s="40">
        <v>50.8</v>
      </c>
      <c r="L80" s="40">
        <v>50.8</v>
      </c>
      <c r="M80" s="40">
        <v>50.8</v>
      </c>
      <c r="N80" s="4">
        <v>50.8</v>
      </c>
      <c r="O80" s="4">
        <v>50.8</v>
      </c>
      <c r="P80" s="4">
        <v>50.8</v>
      </c>
      <c r="Q80" s="4">
        <v>50.8</v>
      </c>
      <c r="R80" s="4">
        <v>50.8</v>
      </c>
      <c r="S80" s="4">
        <v>50.8</v>
      </c>
      <c r="T80" s="4">
        <v>50.8</v>
      </c>
    </row>
    <row r="81" spans="1:20" ht="12.75">
      <c r="A81" s="1"/>
      <c r="B81" s="1"/>
      <c r="C81" s="1"/>
      <c r="D81" s="1"/>
      <c r="E81" s="32" t="s">
        <v>143</v>
      </c>
      <c r="H81" s="7">
        <f t="shared" si="28"/>
        <v>4</v>
      </c>
      <c r="I81" s="40"/>
      <c r="J81" s="40"/>
      <c r="K81" s="40">
        <v>1</v>
      </c>
      <c r="L81" s="40"/>
      <c r="M81" s="40"/>
      <c r="N81" s="4">
        <v>1</v>
      </c>
      <c r="O81" s="4"/>
      <c r="P81" s="4"/>
      <c r="Q81" s="4">
        <v>1</v>
      </c>
      <c r="R81" s="4"/>
      <c r="S81" s="4"/>
      <c r="T81" s="4">
        <v>1</v>
      </c>
    </row>
    <row r="82" spans="1:20" ht="12.75">
      <c r="A82" s="1"/>
      <c r="B82" s="1"/>
      <c r="C82" s="1"/>
      <c r="D82" s="1"/>
      <c r="E82" s="32" t="s">
        <v>144</v>
      </c>
      <c r="H82" s="7">
        <f t="shared" si="28"/>
        <v>203.4</v>
      </c>
      <c r="I82" s="40"/>
      <c r="J82" s="40"/>
      <c r="K82" s="40">
        <v>50.85</v>
      </c>
      <c r="L82" s="40"/>
      <c r="M82" s="40"/>
      <c r="N82" s="4">
        <v>50.85</v>
      </c>
      <c r="O82" s="4"/>
      <c r="P82" s="4"/>
      <c r="Q82" s="4">
        <v>50.85</v>
      </c>
      <c r="R82" s="4"/>
      <c r="S82" s="4"/>
      <c r="T82" s="4">
        <v>50.85</v>
      </c>
    </row>
    <row r="83" spans="1:20" ht="18">
      <c r="A83" s="1"/>
      <c r="B83" s="1"/>
      <c r="C83" s="1"/>
      <c r="D83" s="1"/>
      <c r="E83" s="33" t="s">
        <v>136</v>
      </c>
      <c r="F83" s="2"/>
      <c r="G83" s="2"/>
      <c r="H83" s="7">
        <f t="shared" si="28"/>
        <v>0</v>
      </c>
      <c r="I83" s="38"/>
      <c r="J83" s="38"/>
      <c r="K83" s="38"/>
      <c r="L83" s="38"/>
      <c r="M83" s="38"/>
      <c r="N83" s="13"/>
      <c r="O83" s="13"/>
      <c r="P83" s="13"/>
      <c r="Q83" s="13"/>
      <c r="R83" s="13"/>
      <c r="S83" s="13"/>
      <c r="T83" s="13"/>
    </row>
    <row r="84" spans="1:20" ht="12.75">
      <c r="A84" s="1"/>
      <c r="B84" s="1"/>
      <c r="C84" s="1"/>
      <c r="D84" s="1"/>
      <c r="E84" s="32" t="s">
        <v>80</v>
      </c>
      <c r="H84" s="7">
        <f t="shared" si="28"/>
        <v>0</v>
      </c>
      <c r="I84" s="38"/>
      <c r="J84" s="38"/>
      <c r="K84" s="38"/>
      <c r="L84" s="38"/>
      <c r="M84" s="38"/>
      <c r="N84" s="13"/>
      <c r="O84" s="13"/>
      <c r="P84" s="13"/>
      <c r="Q84" s="13"/>
      <c r="R84" s="13"/>
      <c r="S84" s="13"/>
      <c r="T84" s="13"/>
    </row>
    <row r="85" spans="1:20" ht="12.75">
      <c r="A85" s="1"/>
      <c r="B85" s="1"/>
      <c r="C85" s="1"/>
      <c r="D85" s="1"/>
      <c r="E85" s="32" t="s">
        <v>81</v>
      </c>
      <c r="F85" s="22"/>
      <c r="G85" s="22"/>
      <c r="H85" s="7">
        <f t="shared" si="28"/>
        <v>0</v>
      </c>
      <c r="I85" s="40">
        <f>I83*I84</f>
        <v>0</v>
      </c>
      <c r="J85" s="40">
        <f>J83*J84</f>
        <v>0</v>
      </c>
      <c r="K85" s="40">
        <f>K83*K84</f>
        <v>0</v>
      </c>
      <c r="L85" s="40">
        <f>L83*L84</f>
        <v>0</v>
      </c>
      <c r="M85" s="40">
        <f aca="true" t="shared" si="29" ref="M85:T85">M83*M84</f>
        <v>0</v>
      </c>
      <c r="N85" s="4">
        <f t="shared" si="29"/>
        <v>0</v>
      </c>
      <c r="O85" s="4">
        <f t="shared" si="29"/>
        <v>0</v>
      </c>
      <c r="P85" s="4">
        <f t="shared" si="29"/>
        <v>0</v>
      </c>
      <c r="Q85" s="4">
        <f t="shared" si="29"/>
        <v>0</v>
      </c>
      <c r="R85" s="4">
        <f t="shared" si="29"/>
        <v>0</v>
      </c>
      <c r="S85" s="4">
        <f t="shared" si="29"/>
        <v>0</v>
      </c>
      <c r="T85" s="4">
        <f t="shared" si="29"/>
        <v>0</v>
      </c>
    </row>
    <row r="86" spans="1:20" ht="12.75">
      <c r="A86" s="1"/>
      <c r="B86" s="1"/>
      <c r="C86" s="1"/>
      <c r="D86" s="1"/>
      <c r="E86" s="33" t="s">
        <v>137</v>
      </c>
      <c r="F86" s="22"/>
      <c r="G86" s="22"/>
      <c r="H86" s="7">
        <f t="shared" si="28"/>
        <v>0</v>
      </c>
      <c r="I86" s="38"/>
      <c r="J86" s="38"/>
      <c r="K86" s="38"/>
      <c r="L86" s="38"/>
      <c r="M86" s="38"/>
      <c r="N86" s="13"/>
      <c r="O86" s="13"/>
      <c r="P86" s="13"/>
      <c r="Q86" s="13"/>
      <c r="R86" s="13"/>
      <c r="S86" s="13"/>
      <c r="T86" s="13"/>
    </row>
    <row r="87" spans="1:20" ht="12.75">
      <c r="A87" s="1"/>
      <c r="B87" s="1"/>
      <c r="C87" s="1"/>
      <c r="D87" s="1"/>
      <c r="E87" s="32" t="s">
        <v>101</v>
      </c>
      <c r="F87" s="26"/>
      <c r="G87" s="26"/>
      <c r="H87" s="7">
        <f t="shared" si="28"/>
        <v>0</v>
      </c>
      <c r="I87" s="32"/>
      <c r="J87" s="32"/>
      <c r="K87" s="32"/>
      <c r="L87" s="32"/>
      <c r="M87" s="32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32" t="s">
        <v>81</v>
      </c>
      <c r="F88" s="26"/>
      <c r="G88" s="26"/>
      <c r="H88" s="7">
        <f t="shared" si="28"/>
        <v>0</v>
      </c>
      <c r="I88" s="40">
        <f>I86*I87</f>
        <v>0</v>
      </c>
      <c r="J88" s="40">
        <f>J86*J87</f>
        <v>0</v>
      </c>
      <c r="K88" s="40">
        <f>K86*K87</f>
        <v>0</v>
      </c>
      <c r="L88" s="40">
        <f>L86*L87</f>
        <v>0</v>
      </c>
      <c r="M88" s="40">
        <f aca="true" t="shared" si="30" ref="M88:T88">M86*M87</f>
        <v>0</v>
      </c>
      <c r="N88" s="4">
        <f t="shared" si="30"/>
        <v>0</v>
      </c>
      <c r="O88" s="4">
        <f t="shared" si="30"/>
        <v>0</v>
      </c>
      <c r="P88" s="4">
        <f t="shared" si="30"/>
        <v>0</v>
      </c>
      <c r="Q88" s="4">
        <f t="shared" si="30"/>
        <v>0</v>
      </c>
      <c r="R88" s="4">
        <f t="shared" si="30"/>
        <v>0</v>
      </c>
      <c r="S88" s="4">
        <f t="shared" si="30"/>
        <v>0</v>
      </c>
      <c r="T88" s="4">
        <f t="shared" si="30"/>
        <v>0</v>
      </c>
    </row>
    <row r="89" spans="6:9" ht="12.75">
      <c r="F89" s="26"/>
      <c r="G89" s="26" t="s">
        <v>83</v>
      </c>
      <c r="H89" s="7">
        <f t="shared" si="28"/>
        <v>0</v>
      </c>
      <c r="I89" s="44"/>
    </row>
    <row r="90" spans="1:20" ht="18">
      <c r="A90" s="1"/>
      <c r="B90" s="1"/>
      <c r="C90" s="1"/>
      <c r="D90" s="1"/>
      <c r="E90" s="2"/>
      <c r="H90" s="3">
        <f t="shared" si="28"/>
        <v>0</v>
      </c>
      <c r="I90" s="40" t="s">
        <v>89</v>
      </c>
      <c r="J90" s="40" t="s">
        <v>90</v>
      </c>
      <c r="K90" s="40" t="s">
        <v>91</v>
      </c>
      <c r="L90" s="45" t="s">
        <v>92</v>
      </c>
      <c r="M90" s="40" t="s">
        <v>93</v>
      </c>
      <c r="N90" s="4" t="s">
        <v>94</v>
      </c>
      <c r="O90" s="4" t="s">
        <v>95</v>
      </c>
      <c r="P90" s="5" t="s">
        <v>96</v>
      </c>
      <c r="Q90" s="4" t="s">
        <v>97</v>
      </c>
      <c r="R90" s="4" t="s">
        <v>98</v>
      </c>
      <c r="S90" s="4" t="s">
        <v>99</v>
      </c>
      <c r="T90" s="5" t="s">
        <v>100</v>
      </c>
    </row>
    <row r="91" spans="5:20" ht="12.75">
      <c r="E91" s="18" t="s">
        <v>149</v>
      </c>
      <c r="H91" s="21">
        <f t="shared" si="28"/>
        <v>1462.1499999999999</v>
      </c>
      <c r="I91" s="44">
        <f>SUM(I92:I97)</f>
        <v>263.61</v>
      </c>
      <c r="J91" s="44">
        <f>SUM(J92:J97)</f>
        <v>308.44000000000005</v>
      </c>
      <c r="K91" s="44">
        <f>SUM(K92:K97)</f>
        <v>342.2099999999999</v>
      </c>
      <c r="L91" s="44">
        <f>SUM(L92:L97)</f>
        <v>336.61</v>
      </c>
      <c r="M91" s="44">
        <f aca="true" t="shared" si="31" ref="M91:T91">SUM(M92:M97)</f>
        <v>105.61999999999999</v>
      </c>
      <c r="N91">
        <f t="shared" si="31"/>
        <v>105.66</v>
      </c>
      <c r="O91">
        <f t="shared" si="31"/>
        <v>0</v>
      </c>
      <c r="P91">
        <f t="shared" si="31"/>
        <v>0</v>
      </c>
      <c r="Q91">
        <f t="shared" si="31"/>
        <v>0</v>
      </c>
      <c r="R91">
        <f t="shared" si="31"/>
        <v>0</v>
      </c>
      <c r="S91">
        <f t="shared" si="31"/>
        <v>0</v>
      </c>
      <c r="T91">
        <f t="shared" si="31"/>
        <v>0</v>
      </c>
    </row>
    <row r="92" spans="1:13" s="25" customFormat="1" ht="12.75">
      <c r="A92" s="22"/>
      <c r="B92" s="22"/>
      <c r="C92" s="22"/>
      <c r="D92" s="22"/>
      <c r="E92" s="22" t="s">
        <v>148</v>
      </c>
      <c r="F92" s="18"/>
      <c r="G92" s="18"/>
      <c r="H92" s="23">
        <f t="shared" si="28"/>
        <v>0</v>
      </c>
      <c r="I92" s="49"/>
      <c r="J92" s="49"/>
      <c r="K92" s="49"/>
      <c r="L92" s="49"/>
      <c r="M92" s="49"/>
    </row>
    <row r="93" spans="1:14" s="25" customFormat="1" ht="12.75">
      <c r="A93" s="22"/>
      <c r="B93" s="22"/>
      <c r="C93" s="22"/>
      <c r="D93" s="22"/>
      <c r="E93" s="22" t="s">
        <v>86</v>
      </c>
      <c r="F93" s="18"/>
      <c r="G93" s="18"/>
      <c r="H93" s="23">
        <f t="shared" si="28"/>
        <v>0</v>
      </c>
      <c r="I93" s="49"/>
      <c r="J93" s="49"/>
      <c r="K93" s="49"/>
      <c r="L93" s="49"/>
      <c r="M93" s="49"/>
      <c r="N93" s="25">
        <v>0</v>
      </c>
    </row>
    <row r="94" spans="1:16" s="25" customFormat="1" ht="12.75">
      <c r="A94" s="22"/>
      <c r="B94" s="22"/>
      <c r="C94" s="22"/>
      <c r="D94" s="22"/>
      <c r="E94" s="26" t="s">
        <v>107</v>
      </c>
      <c r="F94" s="18"/>
      <c r="G94" s="18"/>
      <c r="H94" s="23">
        <f t="shared" si="28"/>
        <v>581.21</v>
      </c>
      <c r="I94" s="49">
        <v>98.67</v>
      </c>
      <c r="J94" s="49">
        <v>81.88</v>
      </c>
      <c r="K94" s="49">
        <v>99.52</v>
      </c>
      <c r="L94" s="49">
        <v>99.95</v>
      </c>
      <c r="M94" s="49">
        <v>100.38</v>
      </c>
      <c r="N94" s="25">
        <v>100.81</v>
      </c>
      <c r="P94" s="25">
        <v>0</v>
      </c>
    </row>
    <row r="95" spans="1:16" s="25" customFormat="1" ht="12.75">
      <c r="A95" s="22"/>
      <c r="B95" s="22"/>
      <c r="C95" s="22"/>
      <c r="D95" s="22"/>
      <c r="E95" s="26" t="s">
        <v>87</v>
      </c>
      <c r="F95" s="18"/>
      <c r="G95" s="18"/>
      <c r="H95" s="23">
        <f t="shared" si="28"/>
        <v>748.48</v>
      </c>
      <c r="I95" s="49">
        <f>36.07+122.07</f>
        <v>158.14</v>
      </c>
      <c r="J95" s="49">
        <f>33.36+143.25</f>
        <v>176.61</v>
      </c>
      <c r="K95" s="49">
        <v>182.7</v>
      </c>
      <c r="L95" s="49">
        <f>70.13+160.9</f>
        <v>231.03</v>
      </c>
      <c r="M95" s="49"/>
      <c r="N95" s="25">
        <v>0</v>
      </c>
      <c r="P95" s="25">
        <v>0</v>
      </c>
    </row>
    <row r="96" spans="1:13" s="25" customFormat="1" ht="12.75">
      <c r="A96" s="22"/>
      <c r="B96" s="22"/>
      <c r="C96" s="22"/>
      <c r="D96" s="22"/>
      <c r="E96" s="26" t="s">
        <v>88</v>
      </c>
      <c r="F96" s="18"/>
      <c r="G96" s="18"/>
      <c r="H96" s="23">
        <f t="shared" si="28"/>
        <v>97.50999999999999</v>
      </c>
      <c r="I96" s="49"/>
      <c r="J96" s="49">
        <v>43.54</v>
      </c>
      <c r="K96" s="49">
        <f>30+7.3+16.67</f>
        <v>53.97</v>
      </c>
      <c r="L96" s="49"/>
      <c r="M96" s="49"/>
    </row>
    <row r="97" spans="5:20" ht="12.75">
      <c r="E97" s="26" t="s">
        <v>140</v>
      </c>
      <c r="I97" s="44">
        <v>6.8</v>
      </c>
      <c r="J97" s="44">
        <v>6.41</v>
      </c>
      <c r="K97" s="44">
        <v>6.02</v>
      </c>
      <c r="L97" s="44">
        <v>5.63</v>
      </c>
      <c r="M97" s="49">
        <v>5.24</v>
      </c>
      <c r="N97" s="25">
        <v>4.85</v>
      </c>
      <c r="O97" s="25"/>
      <c r="P97" s="25"/>
      <c r="Q97" s="25"/>
      <c r="R97" s="25"/>
      <c r="S97" s="25"/>
      <c r="T97" s="25"/>
    </row>
    <row r="98" spans="5:13" ht="12.75">
      <c r="E98" s="26" t="s">
        <v>145</v>
      </c>
      <c r="I98" s="44"/>
      <c r="M98" s="49"/>
    </row>
    <row r="99" ht="12.75">
      <c r="I99" s="44"/>
    </row>
    <row r="100" spans="5:9" ht="12.75">
      <c r="E100" s="26" t="s">
        <v>146</v>
      </c>
      <c r="I100" s="44"/>
    </row>
    <row r="101" spans="5:9" ht="12.75">
      <c r="E101" s="26" t="s">
        <v>147</v>
      </c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1"/>
  <headerFooter alignWithMargins="0">
    <oddHeader>&amp;C&amp;F  &amp;D&amp;RUuri heitvesi &amp;A
</oddHeader>
    <oddFooter>&amp;C&amp;F  &amp;D&amp;RUuri Heitvesi teg ala nr &amp;A
</oddFooter>
  </headerFooter>
  <rowBreaks count="1" manualBreakCount="1">
    <brk id="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8"/>
  <sheetViews>
    <sheetView zoomScalePageLayoutView="0" workbookViewId="0" topLeftCell="A1">
      <pane xSplit="8" ySplit="2" topLeftCell="N63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E83" sqref="E83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26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94</v>
      </c>
      <c r="O2" s="5" t="s">
        <v>95</v>
      </c>
      <c r="P2" s="5" t="s">
        <v>96</v>
      </c>
      <c r="Q2" s="5" t="s">
        <v>252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541989.82</v>
      </c>
      <c r="G3" s="4">
        <f>G4+G8+G12</f>
        <v>636232.8600000001</v>
      </c>
      <c r="H3" s="7">
        <f>SUM(I3:T3)</f>
        <v>551162.74</v>
      </c>
      <c r="I3" s="40">
        <f>I4+I8+I12</f>
        <v>44539.75</v>
      </c>
      <c r="J3" s="40">
        <f>J4+J8+J12</f>
        <v>39884.35</v>
      </c>
      <c r="K3" s="40">
        <f>K4+K8+K12</f>
        <v>57080.75</v>
      </c>
      <c r="L3" s="40">
        <f>L4+L8+L12</f>
        <v>39297.85</v>
      </c>
      <c r="M3" s="40">
        <f aca="true" t="shared" si="0" ref="M3:T3">M4+M8+M12</f>
        <v>40305.15</v>
      </c>
      <c r="N3" s="4">
        <f t="shared" si="0"/>
        <v>55378.85</v>
      </c>
      <c r="O3" s="4">
        <f t="shared" si="0"/>
        <v>38915.15</v>
      </c>
      <c r="P3" s="4">
        <f t="shared" si="0"/>
        <v>38695.15</v>
      </c>
      <c r="Q3" s="4">
        <f t="shared" si="0"/>
        <v>62354.31</v>
      </c>
      <c r="R3" s="4">
        <f t="shared" si="0"/>
        <v>38237.85</v>
      </c>
      <c r="S3" s="4">
        <f t="shared" si="0"/>
        <v>37472.45</v>
      </c>
      <c r="T3" s="4">
        <f t="shared" si="0"/>
        <v>59001.13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541989.82</v>
      </c>
      <c r="G4" s="4">
        <f>G5</f>
        <v>549840.05</v>
      </c>
      <c r="H4" s="7">
        <f aca="true" t="shared" si="1" ref="H4:H60">SUM(I4:T4)</f>
        <v>551162.74</v>
      </c>
      <c r="I4" s="40">
        <f>I5</f>
        <v>44539.75</v>
      </c>
      <c r="J4" s="40">
        <f>J5</f>
        <v>39884.35</v>
      </c>
      <c r="K4" s="40">
        <f>K5</f>
        <v>57080.75</v>
      </c>
      <c r="L4" s="40">
        <f>L5</f>
        <v>39297.85</v>
      </c>
      <c r="M4" s="40">
        <f aca="true" t="shared" si="2" ref="M4:T4">M5</f>
        <v>40305.15</v>
      </c>
      <c r="N4" s="4">
        <f t="shared" si="2"/>
        <v>55378.85</v>
      </c>
      <c r="O4" s="4">
        <f t="shared" si="2"/>
        <v>38915.15</v>
      </c>
      <c r="P4" s="4">
        <f t="shared" si="2"/>
        <v>38695.15</v>
      </c>
      <c r="Q4" s="4">
        <f t="shared" si="2"/>
        <v>62354.31</v>
      </c>
      <c r="R4" s="4">
        <f t="shared" si="2"/>
        <v>38237.85</v>
      </c>
      <c r="S4" s="4">
        <f t="shared" si="2"/>
        <v>37472.45</v>
      </c>
      <c r="T4" s="4">
        <f t="shared" si="2"/>
        <v>59001.13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541989.82</v>
      </c>
      <c r="G5" s="4">
        <f>G7</f>
        <v>549840.05</v>
      </c>
      <c r="H5" s="7">
        <f t="shared" si="1"/>
        <v>551162.74</v>
      </c>
      <c r="I5" s="40">
        <f>I7</f>
        <v>44539.75</v>
      </c>
      <c r="J5" s="40">
        <f>J7</f>
        <v>39884.35</v>
      </c>
      <c r="K5" s="40">
        <f>K7</f>
        <v>57080.75</v>
      </c>
      <c r="L5" s="40">
        <f>L7</f>
        <v>39297.85</v>
      </c>
      <c r="M5" s="40">
        <f aca="true" t="shared" si="3" ref="M5:T5">M7</f>
        <v>40305.15</v>
      </c>
      <c r="N5" s="4">
        <f t="shared" si="3"/>
        <v>55378.85</v>
      </c>
      <c r="O5" s="4">
        <f t="shared" si="3"/>
        <v>38915.15</v>
      </c>
      <c r="P5" s="4">
        <f t="shared" si="3"/>
        <v>38695.15</v>
      </c>
      <c r="Q5" s="4">
        <f t="shared" si="3"/>
        <v>62354.31</v>
      </c>
      <c r="R5" s="4">
        <f t="shared" si="3"/>
        <v>38237.85</v>
      </c>
      <c r="S5" s="4">
        <f t="shared" si="3"/>
        <v>37472.45</v>
      </c>
      <c r="T5" s="4">
        <f t="shared" si="3"/>
        <v>59001.13</v>
      </c>
    </row>
    <row r="6" spans="1:20" s="11" customFormat="1" ht="11.25">
      <c r="A6" s="8"/>
      <c r="B6" s="8"/>
      <c r="C6" s="8"/>
      <c r="D6" s="8"/>
      <c r="E6" s="8" t="s">
        <v>9</v>
      </c>
      <c r="F6" s="9">
        <v>56499</v>
      </c>
      <c r="G6" s="9">
        <v>51601</v>
      </c>
      <c r="H6" s="10">
        <f t="shared" si="1"/>
        <v>51226</v>
      </c>
      <c r="I6" s="41">
        <f aca="true" t="shared" si="4" ref="I6:T6">I77</f>
        <v>4257</v>
      </c>
      <c r="J6" s="41">
        <f t="shared" si="4"/>
        <v>3794</v>
      </c>
      <c r="K6" s="41">
        <f t="shared" si="4"/>
        <v>5219</v>
      </c>
      <c r="L6" s="41">
        <f t="shared" si="4"/>
        <v>3729</v>
      </c>
      <c r="M6" s="41">
        <f t="shared" si="4"/>
        <v>3831</v>
      </c>
      <c r="N6" s="9">
        <f t="shared" si="4"/>
        <v>5045</v>
      </c>
      <c r="O6" s="9">
        <f t="shared" si="4"/>
        <v>3692</v>
      </c>
      <c r="P6" s="9">
        <f t="shared" si="4"/>
        <v>3670</v>
      </c>
      <c r="Q6" s="9">
        <f t="shared" si="4"/>
        <v>5726</v>
      </c>
      <c r="R6" s="9">
        <f t="shared" si="4"/>
        <v>3625</v>
      </c>
      <c r="S6" s="9">
        <f t="shared" si="4"/>
        <v>3549</v>
      </c>
      <c r="T6" s="9">
        <f t="shared" si="4"/>
        <v>5089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541989.82</v>
      </c>
      <c r="G7" s="13">
        <v>549840.05</v>
      </c>
      <c r="H7" s="10">
        <f t="shared" si="1"/>
        <v>551162.74</v>
      </c>
      <c r="I7" s="38">
        <f>I78+I80+I82</f>
        <v>44539.75</v>
      </c>
      <c r="J7" s="38">
        <f>J78+J80+J82</f>
        <v>39884.35</v>
      </c>
      <c r="K7" s="38">
        <f>K78+K80+K82</f>
        <v>57080.75</v>
      </c>
      <c r="L7" s="38">
        <f aca="true" t="shared" si="5" ref="L7:R7">L78+L80+L82</f>
        <v>39297.85</v>
      </c>
      <c r="M7" s="38">
        <f t="shared" si="5"/>
        <v>40305.15</v>
      </c>
      <c r="N7" s="38">
        <v>55378.85</v>
      </c>
      <c r="O7" s="38">
        <f t="shared" si="5"/>
        <v>38915.15</v>
      </c>
      <c r="P7" s="38">
        <f t="shared" si="5"/>
        <v>38695.15</v>
      </c>
      <c r="Q7" s="38">
        <f t="shared" si="5"/>
        <v>62354.31</v>
      </c>
      <c r="R7" s="38">
        <f t="shared" si="5"/>
        <v>38237.85</v>
      </c>
      <c r="S7" s="38">
        <v>37472.45</v>
      </c>
      <c r="T7" s="38">
        <v>59001.13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86392.81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6" ref="M8:T8">M9+M11</f>
        <v>0</v>
      </c>
      <c r="N8" s="4">
        <f t="shared" si="6"/>
        <v>0</v>
      </c>
      <c r="O8" s="4">
        <f t="shared" si="6"/>
        <v>0</v>
      </c>
      <c r="P8" s="4">
        <f t="shared" si="6"/>
        <v>0</v>
      </c>
      <c r="Q8" s="4">
        <f t="shared" si="6"/>
        <v>0</v>
      </c>
      <c r="R8" s="4">
        <f t="shared" si="6"/>
        <v>0</v>
      </c>
      <c r="S8" s="4">
        <f t="shared" si="6"/>
        <v>0</v>
      </c>
      <c r="T8" s="4">
        <f t="shared" si="6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3059.48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7" ref="M9:T9">M10</f>
        <v>0</v>
      </c>
      <c r="N9" s="4">
        <f t="shared" si="7"/>
        <v>0</v>
      </c>
      <c r="O9" s="4">
        <f t="shared" si="7"/>
        <v>0</v>
      </c>
      <c r="P9" s="4">
        <f t="shared" si="7"/>
        <v>0</v>
      </c>
      <c r="Q9" s="4">
        <f t="shared" si="7"/>
        <v>0</v>
      </c>
      <c r="R9" s="4">
        <f t="shared" si="7"/>
        <v>0</v>
      </c>
      <c r="S9" s="4">
        <f t="shared" si="7"/>
        <v>0</v>
      </c>
      <c r="T9" s="4">
        <f t="shared" si="7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3059.48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83333.33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8" ref="I12:T13">I13</f>
        <v>0</v>
      </c>
      <c r="J12" s="40">
        <f t="shared" si="8"/>
        <v>0</v>
      </c>
      <c r="K12" s="40">
        <f t="shared" si="8"/>
        <v>0</v>
      </c>
      <c r="L12" s="40">
        <f t="shared" si="8"/>
        <v>0</v>
      </c>
      <c r="M12" s="40">
        <f t="shared" si="8"/>
        <v>0</v>
      </c>
      <c r="N12" s="4">
        <f t="shared" si="8"/>
        <v>0</v>
      </c>
      <c r="O12" s="4">
        <f t="shared" si="8"/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 t="shared" si="8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8"/>
        <v>0</v>
      </c>
      <c r="J13" s="40">
        <f t="shared" si="8"/>
        <v>0</v>
      </c>
      <c r="K13" s="40">
        <f t="shared" si="8"/>
        <v>0</v>
      </c>
      <c r="L13" s="40">
        <f t="shared" si="8"/>
        <v>0</v>
      </c>
      <c r="M13" s="40">
        <f t="shared" si="8"/>
        <v>0</v>
      </c>
      <c r="N13" s="4">
        <f t="shared" si="8"/>
        <v>0</v>
      </c>
      <c r="O13" s="4">
        <f t="shared" si="8"/>
        <v>0</v>
      </c>
      <c r="P13" s="4">
        <f t="shared" si="8"/>
        <v>0</v>
      </c>
      <c r="Q13" s="4">
        <f t="shared" si="8"/>
        <v>0</v>
      </c>
      <c r="R13" s="4">
        <f t="shared" si="8"/>
        <v>0</v>
      </c>
      <c r="S13" s="4">
        <f t="shared" si="8"/>
        <v>0</v>
      </c>
      <c r="T13" s="4">
        <f t="shared" si="8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9" ref="I15:T16">I16</f>
        <v>0</v>
      </c>
      <c r="J15" s="40">
        <f t="shared" si="9"/>
        <v>0</v>
      </c>
      <c r="K15" s="40">
        <f t="shared" si="9"/>
        <v>0</v>
      </c>
      <c r="L15" s="40">
        <f t="shared" si="9"/>
        <v>0</v>
      </c>
      <c r="M15" s="40">
        <f t="shared" si="9"/>
        <v>0</v>
      </c>
      <c r="N15" s="4">
        <f t="shared" si="9"/>
        <v>0</v>
      </c>
      <c r="O15" s="4">
        <f t="shared" si="9"/>
        <v>0</v>
      </c>
      <c r="P15" s="4">
        <f t="shared" si="9"/>
        <v>0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4">
        <f t="shared" si="9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9"/>
        <v>0</v>
      </c>
      <c r="J16" s="40">
        <f t="shared" si="9"/>
        <v>0</v>
      </c>
      <c r="K16" s="40">
        <f t="shared" si="9"/>
        <v>0</v>
      </c>
      <c r="L16" s="40">
        <f t="shared" si="9"/>
        <v>0</v>
      </c>
      <c r="M16" s="40">
        <f t="shared" si="9"/>
        <v>0</v>
      </c>
      <c r="N16" s="4">
        <f t="shared" si="9"/>
        <v>0</v>
      </c>
      <c r="O16" s="4">
        <f t="shared" si="9"/>
        <v>0</v>
      </c>
      <c r="P16" s="4">
        <f t="shared" si="9"/>
        <v>0</v>
      </c>
      <c r="Q16" s="4">
        <f t="shared" si="9"/>
        <v>0</v>
      </c>
      <c r="R16" s="4">
        <f t="shared" si="9"/>
        <v>0</v>
      </c>
      <c r="S16" s="4">
        <f t="shared" si="9"/>
        <v>0</v>
      </c>
      <c r="T16" s="4">
        <f t="shared" si="9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-290791.61</v>
      </c>
      <c r="G18" s="4">
        <f>G19+G27</f>
        <v>-302822.04</v>
      </c>
      <c r="H18" s="7">
        <f t="shared" si="1"/>
        <v>-471218.19</v>
      </c>
      <c r="I18" s="40">
        <f>I19+I27</f>
        <v>-35706.119999999995</v>
      </c>
      <c r="J18" s="40">
        <f>J19+J27</f>
        <v>-27671.14</v>
      </c>
      <c r="K18" s="40">
        <f>K19+K27</f>
        <v>-44564.58</v>
      </c>
      <c r="L18" s="40">
        <f>L19+L27</f>
        <v>-29177.229999999996</v>
      </c>
      <c r="M18" s="40">
        <f aca="true" t="shared" si="10" ref="M18:T18">M19+M27</f>
        <v>-28594.7</v>
      </c>
      <c r="N18" s="4">
        <f t="shared" si="10"/>
        <v>-38402.200000000004</v>
      </c>
      <c r="O18" s="4">
        <f t="shared" si="10"/>
        <v>-32862.64</v>
      </c>
      <c r="P18" s="4">
        <f t="shared" si="10"/>
        <v>-23725.78</v>
      </c>
      <c r="Q18" s="4">
        <f t="shared" si="10"/>
        <v>-31562.060000000005</v>
      </c>
      <c r="R18" s="4">
        <f t="shared" si="10"/>
        <v>-67830.04</v>
      </c>
      <c r="S18" s="4">
        <f t="shared" si="10"/>
        <v>-77256.91</v>
      </c>
      <c r="T18" s="4">
        <f t="shared" si="10"/>
        <v>-33864.79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-134323.55</v>
      </c>
      <c r="G19" s="4">
        <f>G20+G26+G23</f>
        <v>-127924.3</v>
      </c>
      <c r="H19" s="7">
        <f t="shared" si="1"/>
        <v>-114796.45</v>
      </c>
      <c r="I19" s="40">
        <f>I20+I26+I23</f>
        <v>-10334.3</v>
      </c>
      <c r="J19" s="40">
        <f>J20+J26+J23</f>
        <v>-10048.5</v>
      </c>
      <c r="K19" s="40">
        <f>K20+K26+K23</f>
        <v>-11491.5</v>
      </c>
      <c r="L19" s="40">
        <f>L20+L26+L23</f>
        <v>-9963.6</v>
      </c>
      <c r="M19" s="40">
        <f aca="true" t="shared" si="11" ref="M19:T19">M20+M26+M23</f>
        <v>-14058.45</v>
      </c>
      <c r="N19" s="4">
        <f t="shared" si="11"/>
        <v>-7853.5</v>
      </c>
      <c r="O19" s="4">
        <f t="shared" si="11"/>
        <v>-15049.45</v>
      </c>
      <c r="P19" s="4">
        <f t="shared" si="11"/>
        <v>-6488.25</v>
      </c>
      <c r="Q19" s="4">
        <f t="shared" si="11"/>
        <v>-8551.7</v>
      </c>
      <c r="R19" s="4">
        <f t="shared" si="11"/>
        <v>-5383.5</v>
      </c>
      <c r="S19" s="4">
        <f t="shared" si="11"/>
        <v>-5751.95</v>
      </c>
      <c r="T19" s="4">
        <f t="shared" si="11"/>
        <v>-9821.75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-100766.7</v>
      </c>
      <c r="G20" s="4">
        <f>SUM(G21:G22)</f>
        <v>-95521.3</v>
      </c>
      <c r="H20" s="7">
        <f t="shared" si="1"/>
        <v>-85496.45</v>
      </c>
      <c r="I20" s="40">
        <f>SUM(I21:I22)</f>
        <v>-7690.3</v>
      </c>
      <c r="J20" s="40">
        <f>SUM(J21:J22)</f>
        <v>-7475.5</v>
      </c>
      <c r="K20" s="40">
        <f>SUM(K21:K22)</f>
        <v>-8549.5</v>
      </c>
      <c r="L20" s="40">
        <f>SUM(L21:L22)</f>
        <v>-7413.6</v>
      </c>
      <c r="M20" s="40">
        <f aca="true" t="shared" si="12" ref="M20:T20">SUM(M21:M22)</f>
        <v>-10466.45</v>
      </c>
      <c r="N20" s="4">
        <f t="shared" si="12"/>
        <v>-5843.5</v>
      </c>
      <c r="O20" s="4">
        <f t="shared" si="12"/>
        <v>-11199.45</v>
      </c>
      <c r="P20" s="4">
        <f t="shared" si="12"/>
        <v>-4829.25</v>
      </c>
      <c r="Q20" s="4">
        <f t="shared" si="12"/>
        <v>-6363.7</v>
      </c>
      <c r="R20" s="4">
        <f t="shared" si="12"/>
        <v>-4078.5</v>
      </c>
      <c r="S20" s="4">
        <f t="shared" si="12"/>
        <v>-4278.95</v>
      </c>
      <c r="T20" s="4">
        <f t="shared" si="12"/>
        <v>-7307.75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-100766.7</v>
      </c>
      <c r="G21" s="13">
        <v>-95521.3</v>
      </c>
      <c r="H21" s="10">
        <f t="shared" si="1"/>
        <v>-83253.95</v>
      </c>
      <c r="I21" s="38">
        <v>-7690.3</v>
      </c>
      <c r="J21" s="38">
        <v>-7475.5</v>
      </c>
      <c r="K21" s="38">
        <v>-8549.5</v>
      </c>
      <c r="L21" s="38">
        <v>-7413.6</v>
      </c>
      <c r="M21" s="38">
        <v>-10466.45</v>
      </c>
      <c r="N21" s="13">
        <v>-5843.5</v>
      </c>
      <c r="O21" s="13">
        <f aca="true" t="shared" si="13" ref="O21:T21">O62*-1</f>
        <v>-11199.45</v>
      </c>
      <c r="P21" s="13">
        <v>-2586.75</v>
      </c>
      <c r="Q21" s="13">
        <v>-6363.7</v>
      </c>
      <c r="R21" s="13">
        <f t="shared" si="13"/>
        <v>-4078.5</v>
      </c>
      <c r="S21" s="13">
        <v>-4278.95</v>
      </c>
      <c r="T21" s="13">
        <f t="shared" si="13"/>
        <v>-7307.75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-2242.5</v>
      </c>
      <c r="I22" s="38"/>
      <c r="J22" s="38"/>
      <c r="K22" s="38"/>
      <c r="L22" s="38"/>
      <c r="M22" s="38"/>
      <c r="N22" s="13"/>
      <c r="O22" s="13"/>
      <c r="P22" s="13">
        <v>-2242.5</v>
      </c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4" ref="M23:T23">SUM(M24:M25)</f>
        <v>0</v>
      </c>
      <c r="N23" s="15">
        <f t="shared" si="14"/>
        <v>0</v>
      </c>
      <c r="O23" s="15">
        <f t="shared" si="14"/>
        <v>0</v>
      </c>
      <c r="P23" s="15">
        <f t="shared" si="14"/>
        <v>0</v>
      </c>
      <c r="Q23" s="15">
        <f t="shared" si="14"/>
        <v>0</v>
      </c>
      <c r="R23" s="15">
        <f t="shared" si="14"/>
        <v>0</v>
      </c>
      <c r="S23" s="15">
        <f t="shared" si="14"/>
        <v>0</v>
      </c>
      <c r="T23" s="15">
        <f t="shared" si="14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-33556.85</v>
      </c>
      <c r="G26" s="4">
        <v>-32403</v>
      </c>
      <c r="H26" s="7">
        <f t="shared" si="1"/>
        <v>-29300</v>
      </c>
      <c r="I26" s="40">
        <v>-2644</v>
      </c>
      <c r="J26" s="40">
        <v>-2573</v>
      </c>
      <c r="K26" s="40">
        <v>-2942</v>
      </c>
      <c r="L26" s="40">
        <v>-2550</v>
      </c>
      <c r="M26" s="40">
        <v>-3592</v>
      </c>
      <c r="N26" s="4">
        <v>-2010</v>
      </c>
      <c r="O26" s="4">
        <v>-3850</v>
      </c>
      <c r="P26" s="4">
        <v>-1659</v>
      </c>
      <c r="Q26" s="4">
        <v>-2188</v>
      </c>
      <c r="R26" s="4">
        <v>-1305</v>
      </c>
      <c r="S26" s="4">
        <v>-1473</v>
      </c>
      <c r="T26" s="4">
        <f>(T72+T73)*-1</f>
        <v>-2514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-156468.06</v>
      </c>
      <c r="G27" s="4">
        <f>SUM(G28:G41)</f>
        <v>-174897.74</v>
      </c>
      <c r="H27" s="7">
        <f t="shared" si="1"/>
        <v>-356421.74000000005</v>
      </c>
      <c r="I27" s="40">
        <f>SUM(I28:I41)</f>
        <v>-25371.82</v>
      </c>
      <c r="J27" s="40">
        <f aca="true" t="shared" si="15" ref="J27:T27">SUM(J28:J41)</f>
        <v>-17622.64</v>
      </c>
      <c r="K27" s="40">
        <f t="shared" si="15"/>
        <v>-33073.08</v>
      </c>
      <c r="L27" s="40">
        <f t="shared" si="15"/>
        <v>-19213.629999999997</v>
      </c>
      <c r="M27" s="40">
        <f t="shared" si="15"/>
        <v>-14536.25</v>
      </c>
      <c r="N27" s="4">
        <f t="shared" si="15"/>
        <v>-30548.700000000004</v>
      </c>
      <c r="O27" s="4">
        <f t="shared" si="15"/>
        <v>-17813.190000000002</v>
      </c>
      <c r="P27" s="4">
        <f t="shared" si="15"/>
        <v>-17237.53</v>
      </c>
      <c r="Q27" s="4">
        <f t="shared" si="15"/>
        <v>-23010.360000000004</v>
      </c>
      <c r="R27" s="4">
        <f t="shared" si="15"/>
        <v>-62446.53999999999</v>
      </c>
      <c r="S27" s="4">
        <f t="shared" si="15"/>
        <v>-71504.96</v>
      </c>
      <c r="T27" s="4">
        <f t="shared" si="15"/>
        <v>-24043.04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-1229.86</v>
      </c>
      <c r="G28" s="13">
        <v>-735.78</v>
      </c>
      <c r="H28" s="10">
        <f t="shared" si="1"/>
        <v>-76025.95999999999</v>
      </c>
      <c r="I28" s="38">
        <v>-42.16</v>
      </c>
      <c r="J28" s="38">
        <v>-15.84</v>
      </c>
      <c r="K28" s="38">
        <v>-19.32</v>
      </c>
      <c r="L28" s="38">
        <v>-317.06</v>
      </c>
      <c r="M28" s="38">
        <v>-53.88</v>
      </c>
      <c r="N28" s="13"/>
      <c r="O28" s="13">
        <v>-42.96</v>
      </c>
      <c r="P28" s="13">
        <v>-67.08</v>
      </c>
      <c r="Q28" s="13">
        <v>-22.1</v>
      </c>
      <c r="R28" s="13">
        <v>-43266.21</v>
      </c>
      <c r="S28" s="13">
        <v>-30163.2</v>
      </c>
      <c r="T28" s="13">
        <v>-2016.15</v>
      </c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>
        <v>-650.85</v>
      </c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>
        <v>0</v>
      </c>
      <c r="R29" s="13"/>
      <c r="S29" s="13"/>
      <c r="T29" s="13">
        <v>0</v>
      </c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-5462.92</v>
      </c>
      <c r="G30" s="13">
        <v>-959.02</v>
      </c>
      <c r="H30" s="10">
        <f t="shared" si="1"/>
        <v>-5189.49</v>
      </c>
      <c r="I30" s="38">
        <v>-64.45</v>
      </c>
      <c r="J30" s="38">
        <v>-115.13</v>
      </c>
      <c r="K30" s="38">
        <v>-525.59</v>
      </c>
      <c r="L30" s="38">
        <v>-432.74</v>
      </c>
      <c r="M30" s="38">
        <v>-62.66</v>
      </c>
      <c r="N30" s="13">
        <v>-432.3</v>
      </c>
      <c r="O30" s="13">
        <v>-432.53</v>
      </c>
      <c r="P30" s="13">
        <v>-433.13</v>
      </c>
      <c r="Q30" s="13">
        <v>-1452.7</v>
      </c>
      <c r="R30" s="13">
        <v>-435.08</v>
      </c>
      <c r="S30" s="13">
        <v>-433.53</v>
      </c>
      <c r="T30" s="13">
        <v>-369.65</v>
      </c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-56845.97</v>
      </c>
      <c r="G31" s="13">
        <v>-56063.19</v>
      </c>
      <c r="H31" s="10">
        <f t="shared" si="1"/>
        <v>-92825.05000000002</v>
      </c>
      <c r="I31" s="38">
        <v>-8861.53</v>
      </c>
      <c r="J31" s="38">
        <v>-4902.83</v>
      </c>
      <c r="K31" s="38">
        <v>-7353.05</v>
      </c>
      <c r="L31" s="38">
        <v>-4882.44</v>
      </c>
      <c r="M31" s="38">
        <v>-3584.89</v>
      </c>
      <c r="N31" s="13">
        <v>-19063.2</v>
      </c>
      <c r="O31" s="13">
        <v>-4168.88</v>
      </c>
      <c r="P31" s="13">
        <v>-5727.58</v>
      </c>
      <c r="Q31" s="13">
        <v>-10719.03</v>
      </c>
      <c r="R31" s="13">
        <v>-11083.91</v>
      </c>
      <c r="S31" s="13">
        <v>-6588.03</v>
      </c>
      <c r="T31" s="13">
        <v>-5889.68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-13412.95</v>
      </c>
      <c r="G32" s="13">
        <v>-10488.76</v>
      </c>
      <c r="H32" s="10">
        <f t="shared" si="1"/>
        <v>-7050.450000000001</v>
      </c>
      <c r="I32" s="38">
        <v>-821.56</v>
      </c>
      <c r="J32" s="38">
        <v>-910.85</v>
      </c>
      <c r="K32" s="38">
        <v>-1149.17</v>
      </c>
      <c r="L32" s="38">
        <v>-327.9</v>
      </c>
      <c r="M32" s="38">
        <v>-607.54</v>
      </c>
      <c r="N32" s="13">
        <v>-1177.08</v>
      </c>
      <c r="O32" s="13">
        <v>-216.7</v>
      </c>
      <c r="P32" s="13">
        <v>-298.05</v>
      </c>
      <c r="Q32" s="13">
        <v>-825.77</v>
      </c>
      <c r="R32" s="13">
        <v>-301.64</v>
      </c>
      <c r="S32" s="13">
        <v>-263.54</v>
      </c>
      <c r="T32" s="13">
        <v>-150.65</v>
      </c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-723.77</v>
      </c>
      <c r="G34" s="13"/>
      <c r="H34" s="10">
        <f t="shared" si="1"/>
        <v>-7420.37</v>
      </c>
      <c r="I34" s="38">
        <v>-1595.37</v>
      </c>
      <c r="J34" s="38">
        <v>-3525</v>
      </c>
      <c r="K34" s="38"/>
      <c r="L34" s="38"/>
      <c r="M34" s="38"/>
      <c r="N34" s="13"/>
      <c r="O34" s="13">
        <v>-2300</v>
      </c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>
        <v>-1055.84</v>
      </c>
      <c r="H35" s="10">
        <f t="shared" si="1"/>
        <v>-880.83</v>
      </c>
      <c r="I35" s="38"/>
      <c r="J35" s="38"/>
      <c r="K35" s="38"/>
      <c r="L35" s="38"/>
      <c r="M35" s="38"/>
      <c r="N35" s="13"/>
      <c r="O35" s="13">
        <v>-105</v>
      </c>
      <c r="P35" s="13">
        <v>-775.83</v>
      </c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-292.5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-76203.74</v>
      </c>
      <c r="G38" s="13">
        <v>-104953.84</v>
      </c>
      <c r="H38" s="10">
        <f t="shared" si="1"/>
        <v>-164707.49</v>
      </c>
      <c r="I38" s="38">
        <v>-13986.75</v>
      </c>
      <c r="J38" s="38">
        <v>-8152.99</v>
      </c>
      <c r="K38" s="38">
        <v>-24025.95</v>
      </c>
      <c r="L38" s="38">
        <v>-11683.91</v>
      </c>
      <c r="M38" s="38">
        <v>-10227.28</v>
      </c>
      <c r="N38" s="13">
        <v>-9876.12</v>
      </c>
      <c r="O38" s="13">
        <v>-10547.12</v>
      </c>
      <c r="P38" s="13">
        <v>-9935.86</v>
      </c>
      <c r="Q38" s="13">
        <v>-9852.2</v>
      </c>
      <c r="R38" s="13">
        <v>-7359.7</v>
      </c>
      <c r="S38" s="13">
        <v>-33649.33</v>
      </c>
      <c r="T38" s="13">
        <v>-15410.28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>
        <v>-348.81</v>
      </c>
      <c r="H39" s="10">
        <f t="shared" si="1"/>
        <v>-2322.1</v>
      </c>
      <c r="I39" s="38"/>
      <c r="J39" s="38"/>
      <c r="K39" s="38"/>
      <c r="L39" s="38">
        <v>-1569.58</v>
      </c>
      <c r="M39" s="38"/>
      <c r="N39" s="13"/>
      <c r="O39" s="13"/>
      <c r="P39" s="13"/>
      <c r="Q39" s="13">
        <v>-138.56</v>
      </c>
      <c r="R39" s="13"/>
      <c r="S39" s="13">
        <v>-407.33</v>
      </c>
      <c r="T39" s="13">
        <v>-206.63</v>
      </c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-1938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-147880</v>
      </c>
      <c r="G42" s="4">
        <f>G43+G48+G55+G58</f>
        <v>-150120</v>
      </c>
      <c r="H42" s="4">
        <f t="shared" si="1"/>
        <v>-163301.44999999998</v>
      </c>
      <c r="I42" s="40">
        <f aca="true" t="shared" si="16" ref="I42:T42">I43+I48+I55+I58</f>
        <v>-9365</v>
      </c>
      <c r="J42" s="40">
        <f t="shared" si="16"/>
        <v>-9364</v>
      </c>
      <c r="K42" s="40">
        <f t="shared" si="16"/>
        <v>-20494</v>
      </c>
      <c r="L42" s="40">
        <f t="shared" si="16"/>
        <v>-9674.58</v>
      </c>
      <c r="M42" s="40">
        <f t="shared" si="16"/>
        <v>-9715.04</v>
      </c>
      <c r="N42" s="4">
        <f t="shared" si="16"/>
        <v>-20492.55</v>
      </c>
      <c r="O42" s="4">
        <f t="shared" si="16"/>
        <v>-9668.23</v>
      </c>
      <c r="P42" s="4">
        <f t="shared" si="16"/>
        <v>-9719.970000000001</v>
      </c>
      <c r="Q42" s="4">
        <f t="shared" si="16"/>
        <v>-21445.69</v>
      </c>
      <c r="R42" s="4">
        <f>R43+R48+R55+R58</f>
        <v>-9665.23</v>
      </c>
      <c r="S42" s="4">
        <f t="shared" si="16"/>
        <v>-9806.32</v>
      </c>
      <c r="T42" s="4">
        <f t="shared" si="16"/>
        <v>-23890.840000000004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-29053</v>
      </c>
      <c r="G43" s="4">
        <f>G44+G46+G47</f>
        <v>-37689</v>
      </c>
      <c r="H43" s="7">
        <f t="shared" si="1"/>
        <v>-48194.03999999999</v>
      </c>
      <c r="I43" s="40">
        <f aca="true" t="shared" si="17" ref="I43:T43">I44+I46+I47</f>
        <v>0</v>
      </c>
      <c r="J43" s="40">
        <f t="shared" si="17"/>
        <v>0</v>
      </c>
      <c r="K43" s="40">
        <f t="shared" si="17"/>
        <v>-11131</v>
      </c>
      <c r="L43" s="40">
        <f t="shared" si="17"/>
        <v>0</v>
      </c>
      <c r="M43" s="40">
        <f t="shared" si="17"/>
        <v>-43</v>
      </c>
      <c r="N43" s="4">
        <f t="shared" si="17"/>
        <v>-10820.06</v>
      </c>
      <c r="O43" s="4">
        <f t="shared" si="17"/>
        <v>-0.3</v>
      </c>
      <c r="P43" s="4">
        <f t="shared" si="17"/>
        <v>-52.6</v>
      </c>
      <c r="Q43" s="4">
        <f t="shared" si="17"/>
        <v>-11777.89</v>
      </c>
      <c r="R43" s="4">
        <f t="shared" si="17"/>
        <v>0</v>
      </c>
      <c r="S43" s="4">
        <f t="shared" si="17"/>
        <v>-142</v>
      </c>
      <c r="T43" s="4">
        <f t="shared" si="17"/>
        <v>-14227.19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-29053</v>
      </c>
      <c r="G44" s="4">
        <f>G45</f>
        <v>-37689</v>
      </c>
      <c r="H44" s="7">
        <f t="shared" si="1"/>
        <v>-46147.13999999999</v>
      </c>
      <c r="I44" s="40">
        <f>I45</f>
        <v>0</v>
      </c>
      <c r="J44" s="40">
        <f>J45</f>
        <v>0</v>
      </c>
      <c r="K44" s="40">
        <f>K45</f>
        <v>-11131</v>
      </c>
      <c r="L44" s="40">
        <f>L45</f>
        <v>0</v>
      </c>
      <c r="M44" s="40">
        <f aca="true" t="shared" si="18" ref="M44:T44">M45</f>
        <v>-43</v>
      </c>
      <c r="N44" s="4">
        <f t="shared" si="18"/>
        <v>-10820.06</v>
      </c>
      <c r="O44" s="4">
        <f t="shared" si="18"/>
        <v>-0.3</v>
      </c>
      <c r="P44" s="4">
        <f t="shared" si="18"/>
        <v>-52.6</v>
      </c>
      <c r="Q44" s="4">
        <f t="shared" si="18"/>
        <v>-11777.89</v>
      </c>
      <c r="R44" s="4">
        <f t="shared" si="18"/>
        <v>0</v>
      </c>
      <c r="S44" s="4">
        <f t="shared" si="18"/>
        <v>-142</v>
      </c>
      <c r="T44" s="4">
        <f t="shared" si="18"/>
        <v>-12180.29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-29053</v>
      </c>
      <c r="G45" s="13">
        <v>-37689</v>
      </c>
      <c r="H45" s="10">
        <f t="shared" si="1"/>
        <v>-46147.13999999999</v>
      </c>
      <c r="I45" s="38"/>
      <c r="J45" s="38"/>
      <c r="K45" s="38">
        <v>-11131</v>
      </c>
      <c r="L45" s="38"/>
      <c r="M45" s="38">
        <v>-43</v>
      </c>
      <c r="N45" s="13">
        <v>-10820.06</v>
      </c>
      <c r="O45" s="13">
        <v>-0.3</v>
      </c>
      <c r="P45" s="13">
        <v>-52.6</v>
      </c>
      <c r="Q45" s="13">
        <v>-11777.89</v>
      </c>
      <c r="R45" s="13"/>
      <c r="S45" s="13">
        <v>-142</v>
      </c>
      <c r="T45" s="13">
        <v>-12180.29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/>
      <c r="G46" s="15"/>
      <c r="H46" s="7">
        <f t="shared" si="1"/>
        <v>-2046.9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>
        <v>-2046.9</v>
      </c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-118827</v>
      </c>
      <c r="G48" s="4">
        <f>G54+G49</f>
        <v>-112431</v>
      </c>
      <c r="H48" s="7">
        <f t="shared" si="1"/>
        <v>-114622</v>
      </c>
      <c r="I48" s="40">
        <f>I54+I49</f>
        <v>-9365</v>
      </c>
      <c r="J48" s="40">
        <f>J54+J49</f>
        <v>-9364</v>
      </c>
      <c r="K48" s="40">
        <f>K54+K49</f>
        <v>-9363</v>
      </c>
      <c r="L48" s="40">
        <f>L54+L49</f>
        <v>-9615</v>
      </c>
      <c r="M48" s="40">
        <f aca="true" t="shared" si="19" ref="M48:T48">M54+M49</f>
        <v>-9614</v>
      </c>
      <c r="N48" s="4">
        <f t="shared" si="19"/>
        <v>-9616</v>
      </c>
      <c r="O48" s="4">
        <f t="shared" si="19"/>
        <v>-9613</v>
      </c>
      <c r="P48" s="4">
        <f t="shared" si="19"/>
        <v>-9614</v>
      </c>
      <c r="Q48" s="4">
        <f t="shared" si="19"/>
        <v>-9616</v>
      </c>
      <c r="R48" s="4">
        <f t="shared" si="19"/>
        <v>-9615</v>
      </c>
      <c r="S48" s="4">
        <f t="shared" si="19"/>
        <v>-9613</v>
      </c>
      <c r="T48" s="4">
        <f t="shared" si="19"/>
        <v>-9614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-117427</v>
      </c>
      <c r="G49" s="4">
        <f>SUM(G50:G53)</f>
        <v>-112431</v>
      </c>
      <c r="H49" s="7">
        <f t="shared" si="1"/>
        <v>-114622</v>
      </c>
      <c r="I49" s="40">
        <f>SUM(I50:I53)</f>
        <v>-9365</v>
      </c>
      <c r="J49" s="40">
        <f>SUM(J50:J53)</f>
        <v>-9364</v>
      </c>
      <c r="K49" s="40">
        <f>SUM(K50:K53)</f>
        <v>-9363</v>
      </c>
      <c r="L49" s="40">
        <f>SUM(L50:L53)</f>
        <v>-9615</v>
      </c>
      <c r="M49" s="40">
        <f aca="true" t="shared" si="20" ref="M49:T49">SUM(M50:M53)</f>
        <v>-9614</v>
      </c>
      <c r="N49" s="4">
        <f t="shared" si="20"/>
        <v>-9616</v>
      </c>
      <c r="O49" s="4">
        <f t="shared" si="20"/>
        <v>-9613</v>
      </c>
      <c r="P49" s="4">
        <f t="shared" si="20"/>
        <v>-9614</v>
      </c>
      <c r="Q49" s="4">
        <f t="shared" si="20"/>
        <v>-9616</v>
      </c>
      <c r="R49" s="4">
        <f t="shared" si="20"/>
        <v>-9615</v>
      </c>
      <c r="S49" s="4">
        <f t="shared" si="20"/>
        <v>-9613</v>
      </c>
      <c r="T49" s="4">
        <f t="shared" si="20"/>
        <v>-9614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-117427</v>
      </c>
      <c r="G50" s="13">
        <v>-112431</v>
      </c>
      <c r="H50" s="10">
        <f t="shared" si="1"/>
        <v>-112367</v>
      </c>
      <c r="I50" s="38">
        <v>-9365</v>
      </c>
      <c r="J50" s="38">
        <v>-9364</v>
      </c>
      <c r="K50" s="38">
        <v>-9363</v>
      </c>
      <c r="L50" s="38">
        <v>-9364</v>
      </c>
      <c r="M50" s="38">
        <v>-9364</v>
      </c>
      <c r="N50" s="38">
        <v>-9365</v>
      </c>
      <c r="O50" s="38">
        <v>-9363</v>
      </c>
      <c r="P50" s="38">
        <v>-9363</v>
      </c>
      <c r="Q50" s="38">
        <v>-9365</v>
      </c>
      <c r="R50" s="38">
        <v>-9365</v>
      </c>
      <c r="S50" s="38">
        <v>-9362</v>
      </c>
      <c r="T50" s="38">
        <v>-9364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/>
      <c r="H51" s="10">
        <f t="shared" si="1"/>
        <v>-2255</v>
      </c>
      <c r="I51" s="38"/>
      <c r="J51" s="38"/>
      <c r="K51" s="38"/>
      <c r="L51" s="38">
        <v>-251</v>
      </c>
      <c r="M51" s="38">
        <v>-250</v>
      </c>
      <c r="N51" s="38">
        <v>-251</v>
      </c>
      <c r="O51" s="38">
        <v>-250</v>
      </c>
      <c r="P51" s="38">
        <v>-251</v>
      </c>
      <c r="Q51" s="38">
        <v>-251</v>
      </c>
      <c r="R51" s="38">
        <v>-250</v>
      </c>
      <c r="S51" s="38">
        <v>-251</v>
      </c>
      <c r="T51" s="38">
        <v>-250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-1400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0</v>
      </c>
      <c r="H55" s="7">
        <f t="shared" si="1"/>
        <v>-485.41</v>
      </c>
      <c r="I55" s="40">
        <f>I57+I56</f>
        <v>0</v>
      </c>
      <c r="J55" s="40">
        <f>J57+J56</f>
        <v>0</v>
      </c>
      <c r="K55" s="40">
        <f>K57+K56</f>
        <v>0</v>
      </c>
      <c r="L55" s="40">
        <f>L57+L56</f>
        <v>-59.58</v>
      </c>
      <c r="M55" s="40">
        <f aca="true" t="shared" si="21" ref="M55:T55">M57+M56</f>
        <v>-58.04</v>
      </c>
      <c r="N55" s="4">
        <f t="shared" si="21"/>
        <v>-56.49</v>
      </c>
      <c r="O55" s="4">
        <f t="shared" si="21"/>
        <v>-54.93</v>
      </c>
      <c r="P55" s="4">
        <v>-53.37</v>
      </c>
      <c r="Q55" s="4">
        <f t="shared" si="21"/>
        <v>-51.8</v>
      </c>
      <c r="R55" s="4">
        <f t="shared" si="21"/>
        <v>-50.23</v>
      </c>
      <c r="S55" s="4">
        <f t="shared" si="21"/>
        <v>-51.32</v>
      </c>
      <c r="T55" s="4">
        <f t="shared" si="21"/>
        <v>-49.65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/>
      <c r="H56" s="7">
        <f t="shared" si="1"/>
        <v>-489.04</v>
      </c>
      <c r="I56" s="40"/>
      <c r="J56" s="40"/>
      <c r="K56" s="40"/>
      <c r="L56" s="40">
        <v>-59.58</v>
      </c>
      <c r="M56" s="40">
        <v>-58.04</v>
      </c>
      <c r="N56" s="4">
        <v>-56.49</v>
      </c>
      <c r="O56" s="4">
        <v>-54.93</v>
      </c>
      <c r="P56" s="4">
        <v>-57</v>
      </c>
      <c r="Q56" s="4">
        <v>-51.8</v>
      </c>
      <c r="R56" s="4">
        <v>-50.23</v>
      </c>
      <c r="S56" s="4">
        <v>-51.32</v>
      </c>
      <c r="T56" s="4">
        <v>-49.65</v>
      </c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103318.20999999996</v>
      </c>
      <c r="G59" s="7">
        <f>G3+G15+G18+G42</f>
        <v>183290.82000000012</v>
      </c>
      <c r="H59" s="7">
        <f t="shared" si="1"/>
        <v>-83356.90000000002</v>
      </c>
      <c r="I59" s="43">
        <f>I3+I15+I18+I42</f>
        <v>-531.3699999999953</v>
      </c>
      <c r="J59" s="43">
        <f>J3+J15+J18+J42</f>
        <v>2849.209999999999</v>
      </c>
      <c r="K59" s="43">
        <f>K3+K15+K18+K42</f>
        <v>-7977.830000000002</v>
      </c>
      <c r="L59" s="43">
        <f>L3+L15+L18+L42</f>
        <v>446.0400000000027</v>
      </c>
      <c r="M59" s="43">
        <f aca="true" t="shared" si="22" ref="M59:T59">M3+M15+M18+M42</f>
        <v>1995.4099999999999</v>
      </c>
      <c r="N59" s="7">
        <f t="shared" si="22"/>
        <v>-3515.900000000005</v>
      </c>
      <c r="O59" s="7">
        <f t="shared" si="22"/>
        <v>-3615.7199999999975</v>
      </c>
      <c r="P59" s="7">
        <f t="shared" si="22"/>
        <v>5249.4000000000015</v>
      </c>
      <c r="Q59" s="7">
        <f t="shared" si="22"/>
        <v>9346.559999999994</v>
      </c>
      <c r="R59" s="7">
        <f t="shared" si="22"/>
        <v>-39257.42</v>
      </c>
      <c r="S59" s="7">
        <f t="shared" si="22"/>
        <v>-49590.780000000006</v>
      </c>
      <c r="T59" s="7">
        <f t="shared" si="22"/>
        <v>1245.4999999999927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26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265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246</v>
      </c>
      <c r="O61" s="5" t="s">
        <v>95</v>
      </c>
      <c r="P61" s="5" t="s">
        <v>96</v>
      </c>
      <c r="Q61" s="5" t="s">
        <v>97</v>
      </c>
      <c r="R61" s="5" t="s">
        <v>98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85496.45</v>
      </c>
      <c r="I62" s="44">
        <f>SUM(I63:I71)</f>
        <v>7690.3</v>
      </c>
      <c r="J62" s="44">
        <f>SUM(J63:J71)</f>
        <v>7475.5</v>
      </c>
      <c r="K62" s="44">
        <f>SUM(K63:K71)</f>
        <v>8549.5</v>
      </c>
      <c r="L62" s="44">
        <f>SUM(L63:L71)</f>
        <v>7413.6</v>
      </c>
      <c r="M62" s="44">
        <f aca="true" t="shared" si="23" ref="M62:T62">SUM(M63:M71)</f>
        <v>10466.45</v>
      </c>
      <c r="N62">
        <f t="shared" si="23"/>
        <v>5843.5</v>
      </c>
      <c r="O62">
        <f t="shared" si="23"/>
        <v>11199.45</v>
      </c>
      <c r="P62">
        <f t="shared" si="23"/>
        <v>4829.25</v>
      </c>
      <c r="Q62" s="44">
        <f t="shared" si="23"/>
        <v>6363.7</v>
      </c>
      <c r="R62">
        <f t="shared" si="23"/>
        <v>4078.5</v>
      </c>
      <c r="S62">
        <f t="shared" si="23"/>
        <v>4278.95</v>
      </c>
      <c r="T62">
        <f t="shared" si="23"/>
        <v>7307.75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69191.49999999999</v>
      </c>
      <c r="I63" s="46">
        <f>2642.5+5047.8</f>
        <v>7690.3</v>
      </c>
      <c r="J63" s="46">
        <f>2642.5+4833</f>
        <v>7475.5</v>
      </c>
      <c r="K63" s="46">
        <f>2642.5+5907</f>
        <v>8549.5</v>
      </c>
      <c r="L63" s="46">
        <f>2589+424.75+4399.85</f>
        <v>7413.6</v>
      </c>
      <c r="M63" s="46">
        <f>2242.5+4641.6</f>
        <v>6884.1</v>
      </c>
      <c r="N63" s="24">
        <v>5240.2</v>
      </c>
      <c r="O63" s="24">
        <v>4972.95</v>
      </c>
      <c r="P63" s="24">
        <v>2586.75</v>
      </c>
      <c r="Q63" s="46">
        <v>6363.7</v>
      </c>
      <c r="R63" s="24">
        <v>3239.5</v>
      </c>
      <c r="S63" s="24">
        <v>4278.95</v>
      </c>
      <c r="T63" s="24">
        <v>4496.45</v>
      </c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4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4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4"/>
        <v>12258</v>
      </c>
      <c r="I65" s="47"/>
      <c r="J65" s="47"/>
      <c r="K65" s="47"/>
      <c r="L65" s="47"/>
      <c r="M65" s="47">
        <v>2616.9</v>
      </c>
      <c r="N65" s="27">
        <v>603.3</v>
      </c>
      <c r="O65" s="27">
        <v>6226.5</v>
      </c>
      <c r="P65" s="27"/>
      <c r="Q65" s="47"/>
      <c r="R65" s="27"/>
      <c r="S65" s="27"/>
      <c r="T65" s="27">
        <v>2811.3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4"/>
        <v>1804.45</v>
      </c>
      <c r="I66" s="47"/>
      <c r="J66" s="47"/>
      <c r="K66" s="47"/>
      <c r="L66" s="47"/>
      <c r="M66" s="47">
        <f>399.95+565.5</f>
        <v>965.45</v>
      </c>
      <c r="N66" s="27"/>
      <c r="O66" s="27"/>
      <c r="P66" s="27"/>
      <c r="Q66" s="47"/>
      <c r="R66" s="27">
        <v>839</v>
      </c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4"/>
        <v>0</v>
      </c>
      <c r="I67" s="47"/>
      <c r="J67" s="47"/>
      <c r="K67" s="47"/>
      <c r="L67" s="47"/>
      <c r="M67" s="47"/>
      <c r="N67" s="27"/>
      <c r="O67" s="27"/>
      <c r="P67" s="27"/>
      <c r="Q67" s="4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4"/>
        <v>0</v>
      </c>
      <c r="I68" s="47"/>
      <c r="J68" s="47"/>
      <c r="K68" s="47"/>
      <c r="L68" s="47"/>
      <c r="M68" s="47"/>
      <c r="N68" s="27"/>
      <c r="O68" s="27"/>
      <c r="P68" s="27"/>
      <c r="Q68" s="4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4"/>
        <v>2242.5</v>
      </c>
      <c r="I69" s="47"/>
      <c r="J69" s="47"/>
      <c r="K69" s="47"/>
      <c r="L69" s="47"/>
      <c r="M69" s="47"/>
      <c r="N69" s="27"/>
      <c r="O69" s="27"/>
      <c r="P69" s="27">
        <v>2242.5</v>
      </c>
      <c r="Q69" s="4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28126.2915</v>
      </c>
      <c r="I72" s="24">
        <f aca="true" t="shared" si="25" ref="I72:P72">I62*33/100</f>
        <v>2537.799</v>
      </c>
      <c r="J72" s="24">
        <f t="shared" si="25"/>
        <v>2466.915</v>
      </c>
      <c r="K72" s="24">
        <f t="shared" si="25"/>
        <v>2821.335</v>
      </c>
      <c r="L72" s="24">
        <f t="shared" si="25"/>
        <v>2446.4880000000003</v>
      </c>
      <c r="M72" s="24">
        <f t="shared" si="25"/>
        <v>3453.9285000000004</v>
      </c>
      <c r="N72" s="24">
        <f t="shared" si="25"/>
        <v>1928.355</v>
      </c>
      <c r="O72" s="24">
        <f t="shared" si="25"/>
        <v>3695.8185000000003</v>
      </c>
      <c r="P72" s="24">
        <f t="shared" si="25"/>
        <v>1593.6525</v>
      </c>
      <c r="Q72" s="24">
        <v>2099</v>
      </c>
      <c r="R72" s="24">
        <v>1260</v>
      </c>
      <c r="S72" s="24">
        <v>1413</v>
      </c>
      <c r="T72" s="24">
        <v>2410</v>
      </c>
    </row>
    <row r="73" spans="5:20" ht="12.75">
      <c r="E73" s="28" t="s">
        <v>74</v>
      </c>
      <c r="F73" s="28"/>
      <c r="G73" s="28"/>
      <c r="H73" s="21">
        <f>SUM(I73:T73)</f>
        <v>1186.5457</v>
      </c>
      <c r="I73" s="24">
        <f aca="true" t="shared" si="26" ref="I73:P73">1.4*I62/100</f>
        <v>107.6642</v>
      </c>
      <c r="J73" s="24">
        <f t="shared" si="26"/>
        <v>104.65699999999998</v>
      </c>
      <c r="K73" s="24">
        <f t="shared" si="26"/>
        <v>119.693</v>
      </c>
      <c r="L73" s="24">
        <f t="shared" si="26"/>
        <v>103.79039999999999</v>
      </c>
      <c r="M73" s="24">
        <f t="shared" si="26"/>
        <v>146.5303</v>
      </c>
      <c r="N73" s="24">
        <f t="shared" si="26"/>
        <v>81.809</v>
      </c>
      <c r="O73" s="24">
        <f t="shared" si="26"/>
        <v>156.79229999999998</v>
      </c>
      <c r="P73" s="24">
        <f t="shared" si="26"/>
        <v>67.6095</v>
      </c>
      <c r="Q73" s="24">
        <v>89</v>
      </c>
      <c r="R73" s="24">
        <v>45</v>
      </c>
      <c r="S73" s="24">
        <v>60</v>
      </c>
      <c r="T73" s="24">
        <v>104</v>
      </c>
    </row>
    <row r="74" spans="6:20" ht="12.75">
      <c r="F74" s="29"/>
      <c r="G74" s="29"/>
      <c r="H74" s="21">
        <f>SUM(I74:T74)</f>
        <v>114809.28719999999</v>
      </c>
      <c r="I74" s="24">
        <f aca="true" t="shared" si="27" ref="I74:T74">I62+I72+I73</f>
        <v>10335.7632</v>
      </c>
      <c r="J74" s="24">
        <f t="shared" si="27"/>
        <v>10047.072</v>
      </c>
      <c r="K74" s="24">
        <f t="shared" si="27"/>
        <v>11490.527999999998</v>
      </c>
      <c r="L74" s="24">
        <f t="shared" si="27"/>
        <v>9963.8784</v>
      </c>
      <c r="M74" s="24">
        <f t="shared" si="27"/>
        <v>14066.908800000001</v>
      </c>
      <c r="N74" s="24">
        <f t="shared" si="27"/>
        <v>7853.664</v>
      </c>
      <c r="O74" s="24">
        <f t="shared" si="27"/>
        <v>15052.060800000001</v>
      </c>
      <c r="P74" s="24">
        <f t="shared" si="27"/>
        <v>6490.512</v>
      </c>
      <c r="Q74" s="24">
        <f t="shared" si="27"/>
        <v>8551.7</v>
      </c>
      <c r="R74" s="24">
        <f t="shared" si="27"/>
        <v>5383.5</v>
      </c>
      <c r="S74" s="24">
        <f t="shared" si="27"/>
        <v>5751.95</v>
      </c>
      <c r="T74" s="24">
        <f t="shared" si="27"/>
        <v>9821.75</v>
      </c>
    </row>
    <row r="75" spans="5:20" ht="12.75">
      <c r="E75" s="30" t="s">
        <v>75</v>
      </c>
      <c r="H75" s="21" t="s">
        <v>76</v>
      </c>
      <c r="I75" s="48">
        <v>10</v>
      </c>
      <c r="J75" s="48">
        <v>10</v>
      </c>
      <c r="K75" s="48">
        <v>10</v>
      </c>
      <c r="L75" s="48">
        <v>10</v>
      </c>
      <c r="M75" s="48">
        <v>10</v>
      </c>
      <c r="N75" s="48">
        <v>10</v>
      </c>
      <c r="O75" s="48">
        <v>10</v>
      </c>
      <c r="P75" s="48">
        <v>10</v>
      </c>
      <c r="Q75" s="48">
        <f>Q78/Q77</f>
        <v>10.002270345791128</v>
      </c>
      <c r="R75" s="48">
        <v>10</v>
      </c>
      <c r="S75" s="48">
        <v>10</v>
      </c>
      <c r="T75" s="48">
        <v>10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8" ref="H77:H97">SUM(I77:T77)</f>
        <v>51226</v>
      </c>
      <c r="I77" s="32">
        <v>4257</v>
      </c>
      <c r="J77" s="32">
        <v>3794</v>
      </c>
      <c r="K77" s="32">
        <v>5219</v>
      </c>
      <c r="L77" s="32">
        <v>3729</v>
      </c>
      <c r="M77" s="32">
        <v>3831</v>
      </c>
      <c r="N77" s="1">
        <v>5045</v>
      </c>
      <c r="O77" s="1">
        <v>3692</v>
      </c>
      <c r="P77" s="1">
        <v>3670</v>
      </c>
      <c r="Q77" s="1">
        <v>5726</v>
      </c>
      <c r="R77" s="1">
        <v>3625</v>
      </c>
      <c r="S77" s="1">
        <v>3549</v>
      </c>
      <c r="T77" s="1">
        <v>5089</v>
      </c>
    </row>
    <row r="78" spans="1:20" ht="12.75">
      <c r="A78" s="1"/>
      <c r="B78" s="1"/>
      <c r="C78" s="1"/>
      <c r="D78" s="1"/>
      <c r="E78" s="32" t="s">
        <v>78</v>
      </c>
      <c r="H78" s="7">
        <f t="shared" si="28"/>
        <v>512278.4</v>
      </c>
      <c r="I78" s="40">
        <v>42570</v>
      </c>
      <c r="J78" s="40">
        <v>37940</v>
      </c>
      <c r="K78" s="40">
        <v>52190</v>
      </c>
      <c r="L78" s="40">
        <v>37290</v>
      </c>
      <c r="M78" s="40">
        <v>38310</v>
      </c>
      <c r="N78" s="4">
        <v>50450</v>
      </c>
      <c r="O78" s="4">
        <v>36920</v>
      </c>
      <c r="P78" s="4">
        <v>36700</v>
      </c>
      <c r="Q78" s="4">
        <v>57273</v>
      </c>
      <c r="R78" s="4">
        <v>36255.4</v>
      </c>
      <c r="S78" s="4">
        <v>35490</v>
      </c>
      <c r="T78" s="4">
        <f>T75*T77</f>
        <v>50890</v>
      </c>
    </row>
    <row r="79" spans="1:20" ht="12.75">
      <c r="A79" s="1"/>
      <c r="B79" s="1"/>
      <c r="C79" s="1"/>
      <c r="D79" s="1"/>
      <c r="E79" s="32" t="s">
        <v>141</v>
      </c>
      <c r="H79" s="7">
        <f t="shared" si="28"/>
        <v>823</v>
      </c>
      <c r="I79" s="40">
        <v>67</v>
      </c>
      <c r="J79" s="40">
        <v>67</v>
      </c>
      <c r="K79" s="40">
        <v>68</v>
      </c>
      <c r="L79" s="40">
        <v>72</v>
      </c>
      <c r="M79" s="40">
        <v>69</v>
      </c>
      <c r="N79" s="4">
        <v>69</v>
      </c>
      <c r="O79" s="4">
        <v>69</v>
      </c>
      <c r="P79" s="4">
        <v>69</v>
      </c>
      <c r="Q79" s="4">
        <v>69</v>
      </c>
      <c r="R79" s="4">
        <v>68</v>
      </c>
      <c r="S79" s="4">
        <v>68</v>
      </c>
      <c r="T79" s="4">
        <v>68</v>
      </c>
    </row>
    <row r="80" spans="1:20" ht="12.75">
      <c r="A80" s="1"/>
      <c r="B80" s="1"/>
      <c r="C80" s="1"/>
      <c r="D80" s="1"/>
      <c r="E80" s="32" t="s">
        <v>142</v>
      </c>
      <c r="H80" s="7">
        <f t="shared" si="28"/>
        <v>23823.15</v>
      </c>
      <c r="I80" s="40">
        <v>1969.75</v>
      </c>
      <c r="J80" s="40">
        <v>1944.35</v>
      </c>
      <c r="K80" s="40">
        <v>1957.05</v>
      </c>
      <c r="L80" s="40">
        <v>2007.85</v>
      </c>
      <c r="M80" s="40">
        <v>1995.15</v>
      </c>
      <c r="N80" s="4">
        <v>1995</v>
      </c>
      <c r="O80" s="4">
        <v>1995.15</v>
      </c>
      <c r="P80" s="4">
        <v>1995.15</v>
      </c>
      <c r="Q80" s="4">
        <v>1995.15</v>
      </c>
      <c r="R80" s="4">
        <v>1982.45</v>
      </c>
      <c r="S80" s="4">
        <v>1982.45</v>
      </c>
      <c r="T80" s="4">
        <v>2003.65</v>
      </c>
    </row>
    <row r="81" spans="1:20" ht="12.75">
      <c r="A81" s="1"/>
      <c r="B81" s="1"/>
      <c r="C81" s="1"/>
      <c r="D81" s="1"/>
      <c r="E81" s="32" t="s">
        <v>143</v>
      </c>
      <c r="H81" s="7">
        <f t="shared" si="28"/>
        <v>299</v>
      </c>
      <c r="I81" s="40"/>
      <c r="J81" s="40"/>
      <c r="K81" s="40">
        <v>74</v>
      </c>
      <c r="L81" s="40"/>
      <c r="M81" s="40"/>
      <c r="N81" s="4">
        <v>74</v>
      </c>
      <c r="O81" s="4"/>
      <c r="P81" s="4"/>
      <c r="Q81" s="4">
        <v>74</v>
      </c>
      <c r="R81" s="4"/>
      <c r="S81" s="4"/>
      <c r="T81" s="4">
        <v>77</v>
      </c>
    </row>
    <row r="82" spans="1:20" ht="12.75">
      <c r="A82" s="1"/>
      <c r="B82" s="1"/>
      <c r="C82" s="1"/>
      <c r="D82" s="1"/>
      <c r="E82" s="32" t="s">
        <v>144</v>
      </c>
      <c r="H82" s="7">
        <f t="shared" si="28"/>
        <v>12001.56</v>
      </c>
      <c r="I82" s="40"/>
      <c r="J82" s="40"/>
      <c r="K82" s="40">
        <v>2933.7</v>
      </c>
      <c r="L82" s="40"/>
      <c r="M82" s="40"/>
      <c r="N82" s="4">
        <v>2933.7</v>
      </c>
      <c r="O82" s="4"/>
      <c r="P82" s="4"/>
      <c r="Q82" s="4">
        <v>3086.16</v>
      </c>
      <c r="R82" s="4"/>
      <c r="S82" s="4"/>
      <c r="T82" s="4">
        <v>3048</v>
      </c>
    </row>
    <row r="83" spans="1:20" ht="12.75">
      <c r="A83" s="1"/>
      <c r="B83" s="1"/>
      <c r="C83" s="1"/>
      <c r="D83" s="1"/>
      <c r="E83" s="32" t="s">
        <v>276</v>
      </c>
      <c r="H83" s="7">
        <f t="shared" si="28"/>
        <v>3059.48</v>
      </c>
      <c r="I83" s="40"/>
      <c r="J83" s="40"/>
      <c r="K83" s="40"/>
      <c r="L83" s="40"/>
      <c r="M83" s="40"/>
      <c r="N83" s="4"/>
      <c r="O83" s="4"/>
      <c r="P83" s="4"/>
      <c r="Q83" s="4"/>
      <c r="R83" s="4"/>
      <c r="S83" s="4"/>
      <c r="T83" s="4">
        <v>3059.48</v>
      </c>
    </row>
    <row r="84" spans="1:20" ht="18">
      <c r="A84" s="1"/>
      <c r="B84" s="1"/>
      <c r="C84" s="1"/>
      <c r="D84" s="1"/>
      <c r="E84" s="33" t="s">
        <v>151</v>
      </c>
      <c r="F84" s="2"/>
      <c r="G84" s="2"/>
      <c r="H84" s="7">
        <f t="shared" si="28"/>
        <v>0</v>
      </c>
      <c r="I84" s="38"/>
      <c r="J84" s="38"/>
      <c r="K84" s="38"/>
      <c r="L84" s="38"/>
      <c r="M84" s="38"/>
      <c r="N84" s="13"/>
      <c r="O84" s="13"/>
      <c r="P84" s="13"/>
      <c r="Q84" s="13"/>
      <c r="R84" s="13"/>
      <c r="S84" s="13"/>
      <c r="T84" s="13"/>
    </row>
    <row r="85" spans="1:20" ht="12.75">
      <c r="A85" s="1"/>
      <c r="B85" s="1"/>
      <c r="C85" s="1"/>
      <c r="D85" s="1"/>
      <c r="E85" s="32" t="s">
        <v>80</v>
      </c>
      <c r="H85" s="7">
        <f t="shared" si="28"/>
        <v>23080</v>
      </c>
      <c r="I85" s="38">
        <v>2662</v>
      </c>
      <c r="J85" s="38">
        <v>2109</v>
      </c>
      <c r="K85" s="38">
        <v>2139</v>
      </c>
      <c r="L85" s="38">
        <v>2199</v>
      </c>
      <c r="M85" s="38">
        <v>1977</v>
      </c>
      <c r="N85" s="13">
        <v>2073</v>
      </c>
      <c r="O85" s="13">
        <v>2403</v>
      </c>
      <c r="P85" s="13">
        <v>2156</v>
      </c>
      <c r="Q85" s="38">
        <v>2021</v>
      </c>
      <c r="R85" s="13">
        <v>1588</v>
      </c>
      <c r="S85" s="13">
        <v>46</v>
      </c>
      <c r="T85" s="13">
        <v>1707</v>
      </c>
    </row>
    <row r="86" spans="1:20" ht="12.75">
      <c r="A86" s="1"/>
      <c r="B86" s="1"/>
      <c r="C86" s="1"/>
      <c r="D86" s="1"/>
      <c r="E86" s="32" t="s">
        <v>81</v>
      </c>
      <c r="F86" s="22"/>
      <c r="G86" s="22"/>
      <c r="H86" s="7">
        <f t="shared" si="28"/>
        <v>62558.08999999999</v>
      </c>
      <c r="I86" s="40">
        <v>5776.55</v>
      </c>
      <c r="J86" s="40">
        <v>7447.79</v>
      </c>
      <c r="K86" s="40">
        <v>8621.75</v>
      </c>
      <c r="L86" s="40">
        <v>5057.71</v>
      </c>
      <c r="M86" s="40">
        <v>4547.08</v>
      </c>
      <c r="N86" s="4">
        <v>4767.92</v>
      </c>
      <c r="O86" s="4">
        <v>5526.92</v>
      </c>
      <c r="P86" s="4">
        <v>4915.66</v>
      </c>
      <c r="Q86" s="40">
        <v>4810</v>
      </c>
      <c r="R86" s="4">
        <v>4033.5</v>
      </c>
      <c r="S86" s="4">
        <v>447.13</v>
      </c>
      <c r="T86" s="4">
        <v>6606.08</v>
      </c>
    </row>
    <row r="87" spans="1:20" ht="12.75">
      <c r="A87" s="1"/>
      <c r="B87" s="1"/>
      <c r="C87" s="1"/>
      <c r="D87" s="1"/>
      <c r="E87" s="33" t="s">
        <v>152</v>
      </c>
      <c r="F87" s="22"/>
      <c r="G87" s="22"/>
      <c r="H87" s="7">
        <f t="shared" si="28"/>
        <v>0</v>
      </c>
      <c r="I87" s="38"/>
      <c r="J87" s="38"/>
      <c r="K87" s="38"/>
      <c r="L87" s="38"/>
      <c r="M87" s="38"/>
      <c r="N87" s="13"/>
      <c r="O87" s="13"/>
      <c r="P87" s="13"/>
      <c r="Q87" s="38"/>
      <c r="R87" s="13"/>
      <c r="S87" s="13"/>
      <c r="T87" s="13"/>
    </row>
    <row r="88" spans="1:20" ht="12.75">
      <c r="A88" s="1"/>
      <c r="B88" s="1"/>
      <c r="C88" s="1"/>
      <c r="D88" s="1"/>
      <c r="E88" s="32" t="s">
        <v>80</v>
      </c>
      <c r="F88" s="26"/>
      <c r="G88" s="26"/>
      <c r="H88" s="7">
        <f t="shared" si="28"/>
        <v>4353</v>
      </c>
      <c r="I88" s="32">
        <v>349</v>
      </c>
      <c r="J88" s="32">
        <v>8</v>
      </c>
      <c r="K88" s="32">
        <v>676</v>
      </c>
      <c r="L88" s="32">
        <v>277</v>
      </c>
      <c r="M88" s="32">
        <v>234</v>
      </c>
      <c r="N88" s="1">
        <v>208</v>
      </c>
      <c r="O88" s="1">
        <v>204</v>
      </c>
      <c r="P88" s="1">
        <v>204</v>
      </c>
      <c r="Q88" s="32">
        <v>205</v>
      </c>
      <c r="R88" s="1">
        <v>127</v>
      </c>
      <c r="S88" s="1">
        <v>1485</v>
      </c>
      <c r="T88" s="1">
        <v>376</v>
      </c>
    </row>
    <row r="89" spans="1:20" ht="12.75">
      <c r="A89" s="1"/>
      <c r="B89" s="1"/>
      <c r="C89" s="1"/>
      <c r="D89" s="1"/>
      <c r="E89" s="32" t="s">
        <v>81</v>
      </c>
      <c r="F89" s="26"/>
      <c r="G89" s="26"/>
      <c r="H89" s="7">
        <f t="shared" si="28"/>
        <v>95766</v>
      </c>
      <c r="I89" s="40">
        <v>7678</v>
      </c>
      <c r="J89" s="40">
        <v>176</v>
      </c>
      <c r="K89" s="40">
        <v>14872</v>
      </c>
      <c r="L89" s="40">
        <v>6094</v>
      </c>
      <c r="M89" s="40">
        <v>5148</v>
      </c>
      <c r="N89" s="4">
        <v>4576</v>
      </c>
      <c r="O89" s="4">
        <v>4488</v>
      </c>
      <c r="P89" s="4">
        <v>4488</v>
      </c>
      <c r="Q89" s="40">
        <v>4510</v>
      </c>
      <c r="R89" s="4">
        <v>2794</v>
      </c>
      <c r="S89" s="4">
        <v>32670</v>
      </c>
      <c r="T89" s="4">
        <v>8272</v>
      </c>
    </row>
    <row r="90" spans="5:20" ht="12.75">
      <c r="E90" s="33" t="s">
        <v>137</v>
      </c>
      <c r="F90" s="26"/>
      <c r="G90" s="26"/>
      <c r="H90" s="7">
        <f t="shared" si="28"/>
        <v>6386.399999999999</v>
      </c>
      <c r="I90" s="44">
        <v>532.2</v>
      </c>
      <c r="J90" s="44">
        <v>532.2</v>
      </c>
      <c r="K90" s="44">
        <v>532.2</v>
      </c>
      <c r="L90" s="56">
        <v>532.2</v>
      </c>
      <c r="M90" s="56">
        <v>532.2</v>
      </c>
      <c r="N90" s="56">
        <v>532.2</v>
      </c>
      <c r="O90" s="56">
        <v>532.2</v>
      </c>
      <c r="P90" s="56">
        <v>532.2</v>
      </c>
      <c r="Q90" s="56">
        <v>532.2</v>
      </c>
      <c r="R90" s="56">
        <v>532.2</v>
      </c>
      <c r="S90" s="56">
        <v>532.2</v>
      </c>
      <c r="T90" s="56">
        <v>532.2</v>
      </c>
    </row>
    <row r="91" spans="1:20" ht="18">
      <c r="A91" s="1"/>
      <c r="B91" s="1"/>
      <c r="C91" s="1"/>
      <c r="D91" s="1"/>
      <c r="E91" s="2"/>
      <c r="H91" s="3">
        <f t="shared" si="28"/>
        <v>0</v>
      </c>
      <c r="I91" s="40" t="s">
        <v>89</v>
      </c>
      <c r="J91" s="40" t="s">
        <v>90</v>
      </c>
      <c r="K91" s="40" t="s">
        <v>91</v>
      </c>
      <c r="L91" s="45" t="s">
        <v>92</v>
      </c>
      <c r="M91" s="40" t="s">
        <v>93</v>
      </c>
      <c r="N91" s="4" t="s">
        <v>94</v>
      </c>
      <c r="O91" s="4" t="s">
        <v>95</v>
      </c>
      <c r="P91" s="5" t="s">
        <v>96</v>
      </c>
      <c r="Q91" s="4" t="s">
        <v>97</v>
      </c>
      <c r="R91" s="4" t="s">
        <v>98</v>
      </c>
      <c r="S91" s="4" t="s">
        <v>99</v>
      </c>
      <c r="T91" s="5" t="s">
        <v>100</v>
      </c>
    </row>
    <row r="92" spans="5:20" ht="12.75">
      <c r="E92" s="18" t="s">
        <v>150</v>
      </c>
      <c r="H92" s="21">
        <f t="shared" si="28"/>
        <v>11427.73</v>
      </c>
      <c r="I92" s="44">
        <f>SUM(I93:I98)</f>
        <v>821.5600000000001</v>
      </c>
      <c r="J92" s="44">
        <f>SUM(J93:J98)</f>
        <v>910.8499999999999</v>
      </c>
      <c r="K92" s="44">
        <f>SUM(K93:K98)</f>
        <v>1149.1699999999998</v>
      </c>
      <c r="L92" s="44">
        <f>SUM(L93:L98)</f>
        <v>776.88</v>
      </c>
      <c r="M92" s="44">
        <f aca="true" t="shared" si="29" ref="M92:T92">SUM(M93:M98)</f>
        <v>1056.52</v>
      </c>
      <c r="N92">
        <f t="shared" si="29"/>
        <v>1626.0600000000002</v>
      </c>
      <c r="O92">
        <f t="shared" si="29"/>
        <v>1095.45</v>
      </c>
      <c r="P92">
        <f t="shared" si="29"/>
        <v>648.48</v>
      </c>
      <c r="Q92">
        <f t="shared" si="29"/>
        <v>1274.74</v>
      </c>
      <c r="R92">
        <f t="shared" si="29"/>
        <v>750.62</v>
      </c>
      <c r="S92">
        <f t="shared" si="29"/>
        <v>715.19</v>
      </c>
      <c r="T92">
        <f t="shared" si="29"/>
        <v>602.21</v>
      </c>
    </row>
    <row r="93" spans="1:13" s="25" customFormat="1" ht="12.75">
      <c r="A93" s="22"/>
      <c r="B93" s="22"/>
      <c r="C93" s="22"/>
      <c r="D93" s="22"/>
      <c r="E93" s="22" t="s">
        <v>148</v>
      </c>
      <c r="F93" s="18"/>
      <c r="G93" s="18"/>
      <c r="H93" s="23">
        <f t="shared" si="28"/>
        <v>0</v>
      </c>
      <c r="I93" s="49"/>
      <c r="J93" s="49"/>
      <c r="K93" s="49"/>
      <c r="L93" s="49"/>
      <c r="M93" s="49"/>
    </row>
    <row r="94" spans="1:19" s="25" customFormat="1" ht="12.75">
      <c r="A94" s="22"/>
      <c r="B94" s="22"/>
      <c r="C94" s="22"/>
      <c r="D94" s="22"/>
      <c r="E94" s="22" t="s">
        <v>86</v>
      </c>
      <c r="F94" s="18"/>
      <c r="G94" s="18"/>
      <c r="H94" s="23">
        <f t="shared" si="28"/>
        <v>1236.35</v>
      </c>
      <c r="I94" s="49"/>
      <c r="J94" s="49">
        <v>79.5</v>
      </c>
      <c r="K94" s="49"/>
      <c r="L94" s="49"/>
      <c r="M94" s="49">
        <f>29.75+76.05</f>
        <v>105.8</v>
      </c>
      <c r="N94" s="25">
        <v>975</v>
      </c>
      <c r="P94" s="25">
        <v>0</v>
      </c>
      <c r="Q94" s="49"/>
      <c r="S94" s="25">
        <v>76.05</v>
      </c>
    </row>
    <row r="95" spans="1:20" s="25" customFormat="1" ht="12.75">
      <c r="A95" s="22"/>
      <c r="B95" s="22"/>
      <c r="C95" s="22"/>
      <c r="D95" s="22"/>
      <c r="E95" s="26" t="s">
        <v>107</v>
      </c>
      <c r="F95" s="18"/>
      <c r="G95" s="18"/>
      <c r="H95" s="23">
        <f t="shared" si="28"/>
        <v>5232.700000000001</v>
      </c>
      <c r="I95" s="49">
        <v>555.11</v>
      </c>
      <c r="J95" s="49">
        <v>557.34</v>
      </c>
      <c r="K95" s="49">
        <v>559.6</v>
      </c>
      <c r="L95" s="49">
        <v>389.4</v>
      </c>
      <c r="M95" s="49">
        <v>390.94</v>
      </c>
      <c r="N95" s="25">
        <v>392.49</v>
      </c>
      <c r="O95" s="25">
        <v>394.05</v>
      </c>
      <c r="P95" s="25">
        <v>395.61</v>
      </c>
      <c r="Q95" s="49">
        <v>397.17</v>
      </c>
      <c r="R95" s="25">
        <v>398.75</v>
      </c>
      <c r="S95" s="25">
        <v>400.33</v>
      </c>
      <c r="T95" s="25">
        <v>401.91</v>
      </c>
    </row>
    <row r="96" spans="1:20" s="25" customFormat="1" ht="12.75">
      <c r="A96" s="22"/>
      <c r="B96" s="22"/>
      <c r="C96" s="22"/>
      <c r="D96" s="22"/>
      <c r="E96" s="26" t="s">
        <v>87</v>
      </c>
      <c r="F96" s="18"/>
      <c r="G96" s="18"/>
      <c r="H96" s="23">
        <f t="shared" si="28"/>
        <v>2860.5800000000004</v>
      </c>
      <c r="I96" s="49">
        <v>227.85</v>
      </c>
      <c r="J96" s="49">
        <v>236.7</v>
      </c>
      <c r="K96" s="49">
        <v>125.3</v>
      </c>
      <c r="L96" s="49">
        <v>262.41</v>
      </c>
      <c r="M96" s="49">
        <v>269.11</v>
      </c>
      <c r="N96" s="25">
        <v>119.7</v>
      </c>
      <c r="O96" s="25">
        <v>646.47</v>
      </c>
      <c r="P96" s="25">
        <v>199.5</v>
      </c>
      <c r="Q96" s="49">
        <v>257.51</v>
      </c>
      <c r="R96" s="25">
        <v>236.64</v>
      </c>
      <c r="S96" s="25">
        <v>187.49</v>
      </c>
      <c r="T96" s="25">
        <v>91.9</v>
      </c>
    </row>
    <row r="97" spans="1:20" s="25" customFormat="1" ht="12.75">
      <c r="A97" s="22"/>
      <c r="B97" s="22"/>
      <c r="C97" s="22"/>
      <c r="D97" s="22"/>
      <c r="E97" s="26" t="s">
        <v>88</v>
      </c>
      <c r="F97" s="18"/>
      <c r="G97" s="18"/>
      <c r="H97" s="23">
        <f t="shared" si="28"/>
        <v>1500.75</v>
      </c>
      <c r="I97" s="49"/>
      <c r="J97" s="49"/>
      <c r="K97" s="49">
        <f>316.62+14.62+22+75</f>
        <v>428.24</v>
      </c>
      <c r="L97" s="49">
        <f>6.87+45+13.62</f>
        <v>65.49</v>
      </c>
      <c r="M97" s="49">
        <f>170+18.75+43.88</f>
        <v>232.63</v>
      </c>
      <c r="N97" s="25">
        <v>82.38</v>
      </c>
      <c r="O97" s="25">
        <v>0</v>
      </c>
      <c r="Q97" s="49">
        <v>568.26</v>
      </c>
      <c r="R97" s="25">
        <v>65</v>
      </c>
      <c r="S97" s="25">
        <v>0</v>
      </c>
      <c r="T97" s="25">
        <v>58.75</v>
      </c>
    </row>
    <row r="98" spans="1:20" s="25" customFormat="1" ht="11.25">
      <c r="A98" s="22"/>
      <c r="B98" s="22"/>
      <c r="C98" s="22"/>
      <c r="D98" s="22"/>
      <c r="E98" s="26" t="s">
        <v>140</v>
      </c>
      <c r="F98" s="22"/>
      <c r="G98" s="22"/>
      <c r="H98" s="23"/>
      <c r="I98" s="49">
        <v>38.6</v>
      </c>
      <c r="J98" s="49">
        <v>37.31</v>
      </c>
      <c r="K98" s="49">
        <v>36.03</v>
      </c>
      <c r="L98" s="49">
        <v>59.58</v>
      </c>
      <c r="M98" s="49">
        <v>58.04</v>
      </c>
      <c r="N98" s="25">
        <v>56.49</v>
      </c>
      <c r="O98" s="25">
        <v>54.93</v>
      </c>
      <c r="P98" s="25">
        <v>53.37</v>
      </c>
      <c r="Q98" s="49">
        <v>51.8</v>
      </c>
      <c r="R98" s="25">
        <v>50.23</v>
      </c>
      <c r="S98" s="25">
        <v>51.32</v>
      </c>
      <c r="T98" s="25">
        <v>49.65</v>
      </c>
    </row>
    <row r="99" spans="5:17" ht="12.75">
      <c r="E99" s="26" t="s">
        <v>145</v>
      </c>
      <c r="I99" s="44"/>
      <c r="M99" s="49"/>
      <c r="Q99" s="44"/>
    </row>
    <row r="100" spans="9:17" ht="12.75">
      <c r="I100" s="44"/>
      <c r="Q100" s="44"/>
    </row>
    <row r="101" spans="5:17" ht="12.75">
      <c r="E101" s="26" t="s">
        <v>146</v>
      </c>
      <c r="I101" s="44"/>
      <c r="Q101" s="44"/>
    </row>
    <row r="102" spans="5:20" ht="12.75">
      <c r="E102" s="26" t="s">
        <v>147</v>
      </c>
      <c r="I102" s="44"/>
      <c r="N102">
        <v>395</v>
      </c>
      <c r="O102">
        <v>395</v>
      </c>
      <c r="P102">
        <v>395</v>
      </c>
      <c r="Q102" s="44">
        <v>397</v>
      </c>
      <c r="R102">
        <v>398</v>
      </c>
      <c r="S102">
        <v>400.33</v>
      </c>
      <c r="T102">
        <v>401.91</v>
      </c>
    </row>
    <row r="103" spans="9:17" ht="12.75">
      <c r="I103" s="44"/>
      <c r="Q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  <row r="168" ht="12.75">
      <c r="I168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1"/>
  <headerFooter alignWithMargins="0">
    <oddHeader>&amp;C&amp;F  &amp;D&amp;RKuusalu + Kiiu Joogivesi 
&amp;A</oddHeader>
    <oddFooter>&amp;C&amp;F  &amp;D&amp;RKuusalu, Kiiu Joogivesi  tegevsuala kood nr &amp;A</oddFooter>
  </headerFooter>
  <rowBreaks count="1" manualBreakCount="1">
    <brk id="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pane xSplit="8" ySplit="2" topLeftCell="Q39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R23" sqref="R23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247</v>
      </c>
      <c r="P2" s="5" t="s">
        <v>248</v>
      </c>
      <c r="Q2" s="5" t="s">
        <v>97</v>
      </c>
      <c r="R2" s="5" t="s">
        <v>98</v>
      </c>
      <c r="S2" s="5" t="s">
        <v>267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2700</v>
      </c>
      <c r="G3" s="4">
        <f>G4+G8+G12</f>
        <v>2700</v>
      </c>
      <c r="H3" s="7">
        <f>SUM(I3:T3)</f>
        <v>2700</v>
      </c>
      <c r="I3" s="40">
        <f>I4+I8+I12</f>
        <v>225</v>
      </c>
      <c r="J3" s="40">
        <f>J4+J8+J12</f>
        <v>225</v>
      </c>
      <c r="K3" s="40">
        <f>K4+K8+K12</f>
        <v>225</v>
      </c>
      <c r="L3" s="40">
        <f>L4+L8+L12</f>
        <v>225</v>
      </c>
      <c r="M3" s="40">
        <f aca="true" t="shared" si="0" ref="M3:T3">M4+M8+M12</f>
        <v>225</v>
      </c>
      <c r="N3" s="4">
        <f t="shared" si="0"/>
        <v>225</v>
      </c>
      <c r="O3" s="4">
        <f t="shared" si="0"/>
        <v>225</v>
      </c>
      <c r="P3" s="4">
        <f t="shared" si="0"/>
        <v>225</v>
      </c>
      <c r="Q3" s="4">
        <f t="shared" si="0"/>
        <v>225</v>
      </c>
      <c r="R3" s="4">
        <f t="shared" si="0"/>
        <v>225</v>
      </c>
      <c r="S3" s="4">
        <f t="shared" si="0"/>
        <v>225</v>
      </c>
      <c r="T3" s="4">
        <f t="shared" si="0"/>
        <v>225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0</v>
      </c>
      <c r="G4" s="4">
        <f>G5</f>
        <v>0</v>
      </c>
      <c r="H4" s="7">
        <f aca="true" t="shared" si="1" ref="H4:H60">SUM(I4:T4)</f>
        <v>0</v>
      </c>
      <c r="I4" s="40">
        <f>I5</f>
        <v>0</v>
      </c>
      <c r="J4" s="40">
        <f>J5</f>
        <v>0</v>
      </c>
      <c r="K4" s="40">
        <f>K5</f>
        <v>0</v>
      </c>
      <c r="L4" s="40">
        <f>L5</f>
        <v>0</v>
      </c>
      <c r="M4" s="40">
        <f aca="true" t="shared" si="2" ref="M4:T4">M5</f>
        <v>0</v>
      </c>
      <c r="N4" s="4">
        <f t="shared" si="2"/>
        <v>0</v>
      </c>
      <c r="O4" s="4">
        <f t="shared" si="2"/>
        <v>0</v>
      </c>
      <c r="P4" s="4">
        <f t="shared" si="2"/>
        <v>0</v>
      </c>
      <c r="Q4" s="4">
        <f t="shared" si="2"/>
        <v>0</v>
      </c>
      <c r="R4" s="4">
        <f t="shared" si="2"/>
        <v>0</v>
      </c>
      <c r="S4" s="4">
        <f t="shared" si="2"/>
        <v>0</v>
      </c>
      <c r="T4" s="4">
        <f t="shared" si="2"/>
        <v>0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0</v>
      </c>
      <c r="G5" s="4">
        <f>G7</f>
        <v>0</v>
      </c>
      <c r="H5" s="7">
        <f t="shared" si="1"/>
        <v>0</v>
      </c>
      <c r="I5" s="40">
        <f>I7</f>
        <v>0</v>
      </c>
      <c r="J5" s="40">
        <f>J7</f>
        <v>0</v>
      </c>
      <c r="K5" s="40">
        <f>K7</f>
        <v>0</v>
      </c>
      <c r="L5" s="40">
        <f>L7</f>
        <v>0</v>
      </c>
      <c r="M5" s="40">
        <f aca="true" t="shared" si="3" ref="M5:T5">M7</f>
        <v>0</v>
      </c>
      <c r="N5" s="4">
        <f t="shared" si="3"/>
        <v>0</v>
      </c>
      <c r="O5" s="4">
        <f t="shared" si="3"/>
        <v>0</v>
      </c>
      <c r="P5" s="4">
        <f t="shared" si="3"/>
        <v>0</v>
      </c>
      <c r="Q5" s="4">
        <f t="shared" si="3"/>
        <v>0</v>
      </c>
      <c r="R5" s="4">
        <f t="shared" si="3"/>
        <v>0</v>
      </c>
      <c r="S5" s="4">
        <f t="shared" si="3"/>
        <v>0</v>
      </c>
      <c r="T5" s="4">
        <f t="shared" si="3"/>
        <v>0</v>
      </c>
    </row>
    <row r="6" spans="1:20" s="11" customFormat="1" ht="11.25">
      <c r="A6" s="8"/>
      <c r="B6" s="8"/>
      <c r="C6" s="8"/>
      <c r="D6" s="8"/>
      <c r="E6" s="8" t="s">
        <v>9</v>
      </c>
      <c r="F6" s="9">
        <v>0</v>
      </c>
      <c r="G6" s="9">
        <v>0</v>
      </c>
      <c r="H6" s="10">
        <f t="shared" si="1"/>
        <v>0</v>
      </c>
      <c r="I6" s="41">
        <f aca="true" t="shared" si="4" ref="I6:T7">I77</f>
        <v>0</v>
      </c>
      <c r="J6" s="41">
        <f t="shared" si="4"/>
        <v>0</v>
      </c>
      <c r="K6" s="41">
        <f t="shared" si="4"/>
        <v>0</v>
      </c>
      <c r="L6" s="41">
        <f t="shared" si="4"/>
        <v>0</v>
      </c>
      <c r="M6" s="41">
        <f t="shared" si="4"/>
        <v>0</v>
      </c>
      <c r="N6" s="9">
        <f t="shared" si="4"/>
        <v>0</v>
      </c>
      <c r="O6" s="9">
        <f t="shared" si="4"/>
        <v>0</v>
      </c>
      <c r="P6" s="9">
        <f t="shared" si="4"/>
        <v>0</v>
      </c>
      <c r="Q6" s="9">
        <f t="shared" si="4"/>
        <v>0</v>
      </c>
      <c r="R6" s="9">
        <f t="shared" si="4"/>
        <v>0</v>
      </c>
      <c r="S6" s="9">
        <f t="shared" si="4"/>
        <v>0</v>
      </c>
      <c r="T6" s="9">
        <f t="shared" si="4"/>
        <v>0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/>
      <c r="G7" s="13"/>
      <c r="H7" s="10">
        <f t="shared" si="1"/>
        <v>0</v>
      </c>
      <c r="I7" s="38">
        <f t="shared" si="4"/>
        <v>0</v>
      </c>
      <c r="J7" s="38">
        <f t="shared" si="4"/>
        <v>0</v>
      </c>
      <c r="K7" s="38">
        <f t="shared" si="4"/>
        <v>0</v>
      </c>
      <c r="L7" s="38">
        <f t="shared" si="4"/>
        <v>0</v>
      </c>
      <c r="M7" s="38">
        <f t="shared" si="4"/>
        <v>0</v>
      </c>
      <c r="N7" s="13">
        <f t="shared" si="4"/>
        <v>0</v>
      </c>
      <c r="O7" s="13">
        <f t="shared" si="4"/>
        <v>0</v>
      </c>
      <c r="P7" s="13">
        <f t="shared" si="4"/>
        <v>0</v>
      </c>
      <c r="Q7" s="13">
        <f t="shared" si="4"/>
        <v>0</v>
      </c>
      <c r="R7" s="13">
        <f t="shared" si="4"/>
        <v>0</v>
      </c>
      <c r="S7" s="13">
        <f t="shared" si="4"/>
        <v>0</v>
      </c>
      <c r="T7" s="13">
        <f t="shared" si="4"/>
        <v>0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2700</v>
      </c>
      <c r="G8" s="4">
        <f>G9+G11</f>
        <v>2700</v>
      </c>
      <c r="H8" s="7">
        <f t="shared" si="1"/>
        <v>2700</v>
      </c>
      <c r="I8" s="40">
        <f>I9+I11</f>
        <v>225</v>
      </c>
      <c r="J8" s="40">
        <f>J9+J11</f>
        <v>225</v>
      </c>
      <c r="K8" s="40">
        <f>K9+K11</f>
        <v>225</v>
      </c>
      <c r="L8" s="40">
        <f>L9+L11</f>
        <v>225</v>
      </c>
      <c r="M8" s="40">
        <f aca="true" t="shared" si="5" ref="M8:T8">M9+M11</f>
        <v>225</v>
      </c>
      <c r="N8" s="4">
        <f t="shared" si="5"/>
        <v>225</v>
      </c>
      <c r="O8" s="4">
        <f t="shared" si="5"/>
        <v>225</v>
      </c>
      <c r="P8" s="4">
        <f t="shared" si="5"/>
        <v>225</v>
      </c>
      <c r="Q8" s="4">
        <f t="shared" si="5"/>
        <v>225</v>
      </c>
      <c r="R8" s="4">
        <f t="shared" si="5"/>
        <v>225</v>
      </c>
      <c r="S8" s="4">
        <f t="shared" si="5"/>
        <v>225</v>
      </c>
      <c r="T8" s="4">
        <f t="shared" si="5"/>
        <v>225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2700</v>
      </c>
      <c r="G9" s="4">
        <f>G10</f>
        <v>2700</v>
      </c>
      <c r="H9" s="7">
        <f t="shared" si="1"/>
        <v>2700</v>
      </c>
      <c r="I9" s="40">
        <f>I10</f>
        <v>225</v>
      </c>
      <c r="J9" s="40">
        <f>J10</f>
        <v>225</v>
      </c>
      <c r="K9" s="40">
        <f>K10</f>
        <v>225</v>
      </c>
      <c r="L9" s="40">
        <f>L10</f>
        <v>225</v>
      </c>
      <c r="M9" s="40">
        <f aca="true" t="shared" si="6" ref="M9:T9">M10</f>
        <v>225</v>
      </c>
      <c r="N9" s="4">
        <f t="shared" si="6"/>
        <v>225</v>
      </c>
      <c r="O9" s="4">
        <f t="shared" si="6"/>
        <v>225</v>
      </c>
      <c r="P9" s="4">
        <f t="shared" si="6"/>
        <v>225</v>
      </c>
      <c r="Q9" s="4">
        <f t="shared" si="6"/>
        <v>225</v>
      </c>
      <c r="R9" s="4">
        <f t="shared" si="6"/>
        <v>225</v>
      </c>
      <c r="S9" s="4">
        <f t="shared" si="6"/>
        <v>225</v>
      </c>
      <c r="T9" s="4">
        <f t="shared" si="6"/>
        <v>225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2700</v>
      </c>
      <c r="G10" s="13">
        <v>2700</v>
      </c>
      <c r="H10" s="10">
        <f t="shared" si="1"/>
        <v>2700</v>
      </c>
      <c r="I10" s="38">
        <v>225</v>
      </c>
      <c r="J10" s="38">
        <v>225</v>
      </c>
      <c r="K10" s="38">
        <v>225</v>
      </c>
      <c r="L10" s="38">
        <v>225</v>
      </c>
      <c r="M10" s="38">
        <v>225</v>
      </c>
      <c r="N10" s="38">
        <v>225</v>
      </c>
      <c r="O10" s="38">
        <v>225</v>
      </c>
      <c r="P10" s="38">
        <v>225</v>
      </c>
      <c r="Q10" s="38">
        <v>225</v>
      </c>
      <c r="R10" s="38">
        <v>225</v>
      </c>
      <c r="S10" s="38">
        <v>225</v>
      </c>
      <c r="T10" s="38">
        <v>225</v>
      </c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0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0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8" ref="I15:T16">I16</f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0</v>
      </c>
      <c r="G18" s="4">
        <f>G19+G27</f>
        <v>0</v>
      </c>
      <c r="H18" s="7">
        <f t="shared" si="1"/>
        <v>0</v>
      </c>
      <c r="I18" s="40">
        <f>I19+I27</f>
        <v>0</v>
      </c>
      <c r="J18" s="40">
        <f>J19+J27</f>
        <v>0</v>
      </c>
      <c r="K18" s="40">
        <f>K19+K27</f>
        <v>0</v>
      </c>
      <c r="L18" s="40">
        <f>L19+L27</f>
        <v>0</v>
      </c>
      <c r="M18" s="40">
        <f aca="true" t="shared" si="9" ref="M18:T18">M19+M27</f>
        <v>0</v>
      </c>
      <c r="N18" s="4">
        <f t="shared" si="9"/>
        <v>0</v>
      </c>
      <c r="O18" s="4">
        <f t="shared" si="9"/>
        <v>0</v>
      </c>
      <c r="P18" s="4">
        <f t="shared" si="9"/>
        <v>0</v>
      </c>
      <c r="Q18" s="4">
        <f t="shared" si="9"/>
        <v>0</v>
      </c>
      <c r="R18" s="4">
        <f t="shared" si="9"/>
        <v>0</v>
      </c>
      <c r="S18" s="4">
        <f t="shared" si="9"/>
        <v>0</v>
      </c>
      <c r="T18" s="4">
        <f t="shared" si="9"/>
        <v>0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0</v>
      </c>
      <c r="G19" s="4">
        <f>G20+G26+G23</f>
        <v>0</v>
      </c>
      <c r="H19" s="7">
        <f t="shared" si="1"/>
        <v>0</v>
      </c>
      <c r="I19" s="40">
        <f>I20+I26+I23</f>
        <v>0</v>
      </c>
      <c r="J19" s="40">
        <f>J20+J26+J23</f>
        <v>0</v>
      </c>
      <c r="K19" s="40">
        <f>K20+K26+K23</f>
        <v>0</v>
      </c>
      <c r="L19" s="40">
        <f>L20+L26+L23</f>
        <v>0</v>
      </c>
      <c r="M19" s="40">
        <f aca="true" t="shared" si="10" ref="M19:T19">M20+M26+M23</f>
        <v>0</v>
      </c>
      <c r="N19" s="4">
        <f t="shared" si="10"/>
        <v>0</v>
      </c>
      <c r="O19" s="4">
        <f t="shared" si="10"/>
        <v>0</v>
      </c>
      <c r="P19" s="4">
        <f t="shared" si="10"/>
        <v>0</v>
      </c>
      <c r="Q19" s="4">
        <f t="shared" si="10"/>
        <v>0</v>
      </c>
      <c r="R19" s="4">
        <f t="shared" si="10"/>
        <v>0</v>
      </c>
      <c r="S19" s="4">
        <f t="shared" si="10"/>
        <v>0</v>
      </c>
      <c r="T19" s="4">
        <f t="shared" si="10"/>
        <v>0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0</v>
      </c>
      <c r="G20" s="4">
        <f>SUM(G21:G22)</f>
        <v>0</v>
      </c>
      <c r="H20" s="7">
        <f t="shared" si="1"/>
        <v>0</v>
      </c>
      <c r="I20" s="40">
        <f>SUM(I21:I22)</f>
        <v>0</v>
      </c>
      <c r="J20" s="40">
        <f>SUM(J21:J22)</f>
        <v>0</v>
      </c>
      <c r="K20" s="40">
        <f>SUM(K21:K22)</f>
        <v>0</v>
      </c>
      <c r="L20" s="40">
        <f>SUM(L21:L22)</f>
        <v>0</v>
      </c>
      <c r="M20" s="40">
        <f aca="true" t="shared" si="11" ref="M20:T20">SUM(M21:M22)</f>
        <v>0</v>
      </c>
      <c r="N20" s="4">
        <f t="shared" si="11"/>
        <v>0</v>
      </c>
      <c r="O20" s="4">
        <f t="shared" si="11"/>
        <v>0</v>
      </c>
      <c r="P20" s="4">
        <f t="shared" si="11"/>
        <v>0</v>
      </c>
      <c r="Q20" s="4">
        <f t="shared" si="11"/>
        <v>0</v>
      </c>
      <c r="R20" s="4">
        <f t="shared" si="11"/>
        <v>0</v>
      </c>
      <c r="S20" s="4">
        <f t="shared" si="11"/>
        <v>0</v>
      </c>
      <c r="T20" s="4">
        <f t="shared" si="11"/>
        <v>0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/>
      <c r="G21" s="13"/>
      <c r="H21" s="10">
        <f t="shared" si="1"/>
        <v>0</v>
      </c>
      <c r="I21" s="38"/>
      <c r="J21" s="38"/>
      <c r="K21" s="38"/>
      <c r="L21" s="38"/>
      <c r="M21" s="38"/>
      <c r="N21" s="13"/>
      <c r="O21" s="13"/>
      <c r="P21" s="13"/>
      <c r="Q21" s="13"/>
      <c r="R21" s="13"/>
      <c r="S21" s="13"/>
      <c r="T21" s="13"/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/>
      <c r="G26" s="4"/>
      <c r="H26" s="7">
        <f t="shared" si="1"/>
        <v>0</v>
      </c>
      <c r="I26" s="40"/>
      <c r="J26" s="40"/>
      <c r="K26" s="40"/>
      <c r="L26" s="40"/>
      <c r="M26" s="40"/>
      <c r="N26" s="4"/>
      <c r="O26" s="4"/>
      <c r="P26" s="4"/>
      <c r="Q26" s="4"/>
      <c r="R26" s="4"/>
      <c r="S26" s="4"/>
      <c r="T26" s="4"/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0</v>
      </c>
      <c r="G27" s="4">
        <f>SUM(G28:G41)</f>
        <v>0</v>
      </c>
      <c r="H27" s="7">
        <f t="shared" si="1"/>
        <v>0</v>
      </c>
      <c r="I27" s="40">
        <f>SUM(I28:I41)</f>
        <v>0</v>
      </c>
      <c r="J27" s="40">
        <f aca="true" t="shared" si="13" ref="J27:T27">SUM(J28:J41)</f>
        <v>0</v>
      </c>
      <c r="K27" s="40">
        <f t="shared" si="13"/>
        <v>0</v>
      </c>
      <c r="L27" s="40">
        <f t="shared" si="13"/>
        <v>0</v>
      </c>
      <c r="M27" s="40">
        <f t="shared" si="13"/>
        <v>0</v>
      </c>
      <c r="N27" s="4">
        <f t="shared" si="13"/>
        <v>0</v>
      </c>
      <c r="O27" s="4">
        <f t="shared" si="13"/>
        <v>0</v>
      </c>
      <c r="P27" s="4">
        <f t="shared" si="13"/>
        <v>0</v>
      </c>
      <c r="Q27" s="4">
        <f t="shared" si="13"/>
        <v>0</v>
      </c>
      <c r="R27" s="4">
        <f t="shared" si="13"/>
        <v>0</v>
      </c>
      <c r="S27" s="4">
        <f t="shared" si="13"/>
        <v>0</v>
      </c>
      <c r="T27" s="4">
        <f t="shared" si="13"/>
        <v>0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/>
      <c r="G28" s="13"/>
      <c r="H28" s="10">
        <f t="shared" si="1"/>
        <v>0</v>
      </c>
      <c r="I28" s="38"/>
      <c r="J28" s="38"/>
      <c r="K28" s="38"/>
      <c r="L28" s="38"/>
      <c r="M28" s="38"/>
      <c r="N28" s="13"/>
      <c r="O28" s="13"/>
      <c r="P28" s="13"/>
      <c r="Q28" s="13"/>
      <c r="R28" s="13"/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/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/>
      <c r="G31" s="13"/>
      <c r="H31" s="10">
        <f t="shared" si="1"/>
        <v>0</v>
      </c>
      <c r="I31" s="38"/>
      <c r="J31" s="38"/>
      <c r="K31" s="38"/>
      <c r="L31" s="38"/>
      <c r="M31" s="38"/>
      <c r="N31" s="13"/>
      <c r="O31" s="13"/>
      <c r="P31" s="13"/>
      <c r="Q31" s="13"/>
      <c r="R31" s="13"/>
      <c r="S31" s="13"/>
      <c r="T31" s="13"/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/>
      <c r="G32" s="13"/>
      <c r="H32" s="10">
        <f t="shared" si="1"/>
        <v>0</v>
      </c>
      <c r="I32" s="38"/>
      <c r="J32" s="38"/>
      <c r="K32" s="38"/>
      <c r="L32" s="38"/>
      <c r="M32" s="38"/>
      <c r="N32" s="13"/>
      <c r="O32" s="13"/>
      <c r="P32" s="13"/>
      <c r="Q32" s="13"/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/>
      <c r="G34" s="13"/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/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0</v>
      </c>
      <c r="G38" s="13"/>
      <c r="H38" s="10">
        <f t="shared" si="1"/>
        <v>0</v>
      </c>
      <c r="I38" s="38"/>
      <c r="J38" s="38">
        <f>(J81+J84)*-1</f>
        <v>0</v>
      </c>
      <c r="K38" s="38">
        <f>(K81+K84)*-1</f>
        <v>0</v>
      </c>
      <c r="L38" s="38">
        <f>(L81+L84)*-1</f>
        <v>0</v>
      </c>
      <c r="M38" s="38">
        <f aca="true" t="shared" si="14" ref="M38:T38">(M81+M84)*-1</f>
        <v>0</v>
      </c>
      <c r="N38" s="13">
        <f t="shared" si="14"/>
        <v>0</v>
      </c>
      <c r="O38" s="13">
        <f t="shared" si="14"/>
        <v>0</v>
      </c>
      <c r="P38" s="13">
        <f t="shared" si="14"/>
        <v>0</v>
      </c>
      <c r="Q38" s="13">
        <f t="shared" si="14"/>
        <v>0</v>
      </c>
      <c r="R38" s="13">
        <f t="shared" si="14"/>
        <v>0</v>
      </c>
      <c r="S38" s="13">
        <f t="shared" si="14"/>
        <v>0</v>
      </c>
      <c r="T38" s="13">
        <f t="shared" si="14"/>
        <v>0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-2695</v>
      </c>
      <c r="G42" s="4">
        <f>G43+G48+G55+G58</f>
        <v>-2695</v>
      </c>
      <c r="H42" s="4">
        <f t="shared" si="1"/>
        <v>-2695</v>
      </c>
      <c r="I42" s="40">
        <f aca="true" t="shared" si="15" ref="I42:T42">I43+I48+I55+I58</f>
        <v>-225</v>
      </c>
      <c r="J42" s="40">
        <f t="shared" si="15"/>
        <v>-224</v>
      </c>
      <c r="K42" s="40">
        <f t="shared" si="15"/>
        <v>-225</v>
      </c>
      <c r="L42" s="40">
        <f t="shared" si="15"/>
        <v>-224</v>
      </c>
      <c r="M42" s="40">
        <f t="shared" si="15"/>
        <v>-225</v>
      </c>
      <c r="N42" s="4">
        <f t="shared" si="15"/>
        <v>-225</v>
      </c>
      <c r="O42" s="4">
        <f t="shared" si="15"/>
        <v>-224</v>
      </c>
      <c r="P42" s="4">
        <f t="shared" si="15"/>
        <v>-225</v>
      </c>
      <c r="Q42" s="4">
        <f t="shared" si="15"/>
        <v>-224</v>
      </c>
      <c r="R42" s="4">
        <f>R43+R48+R55+R58</f>
        <v>-225</v>
      </c>
      <c r="S42" s="4">
        <f t="shared" si="15"/>
        <v>-224</v>
      </c>
      <c r="T42" s="4">
        <f t="shared" si="15"/>
        <v>-225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0</v>
      </c>
      <c r="G43" s="4">
        <f>G44+G46+G47</f>
        <v>0</v>
      </c>
      <c r="H43" s="7">
        <f t="shared" si="1"/>
        <v>0</v>
      </c>
      <c r="I43" s="40">
        <f aca="true" t="shared" si="16" ref="I43:T43">I44+I46+I47</f>
        <v>0</v>
      </c>
      <c r="J43" s="40">
        <f t="shared" si="16"/>
        <v>0</v>
      </c>
      <c r="K43" s="40">
        <f t="shared" si="16"/>
        <v>0</v>
      </c>
      <c r="L43" s="40">
        <f t="shared" si="16"/>
        <v>0</v>
      </c>
      <c r="M43" s="40">
        <f t="shared" si="16"/>
        <v>0</v>
      </c>
      <c r="N43" s="4">
        <f t="shared" si="16"/>
        <v>0</v>
      </c>
      <c r="O43" s="4">
        <f t="shared" si="16"/>
        <v>0</v>
      </c>
      <c r="P43" s="4">
        <f t="shared" si="16"/>
        <v>0</v>
      </c>
      <c r="Q43" s="4">
        <f t="shared" si="16"/>
        <v>0</v>
      </c>
      <c r="R43" s="4">
        <f t="shared" si="16"/>
        <v>0</v>
      </c>
      <c r="S43" s="4">
        <f t="shared" si="16"/>
        <v>0</v>
      </c>
      <c r="T43" s="4">
        <f t="shared" si="16"/>
        <v>0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0</v>
      </c>
      <c r="G44" s="4">
        <f>G45</f>
        <v>0</v>
      </c>
      <c r="H44" s="7">
        <f t="shared" si="1"/>
        <v>0</v>
      </c>
      <c r="I44" s="40">
        <f>I45</f>
        <v>0</v>
      </c>
      <c r="J44" s="40">
        <f>J45</f>
        <v>0</v>
      </c>
      <c r="K44" s="40">
        <f>K45</f>
        <v>0</v>
      </c>
      <c r="L44" s="40">
        <f>L45</f>
        <v>0</v>
      </c>
      <c r="M44" s="40">
        <f aca="true" t="shared" si="17" ref="M44:T44">M45</f>
        <v>0</v>
      </c>
      <c r="N44" s="4">
        <f t="shared" si="17"/>
        <v>0</v>
      </c>
      <c r="O44" s="4">
        <f t="shared" si="17"/>
        <v>0</v>
      </c>
      <c r="P44" s="4">
        <f t="shared" si="17"/>
        <v>0</v>
      </c>
      <c r="Q44" s="4">
        <f t="shared" si="17"/>
        <v>0</v>
      </c>
      <c r="R44" s="4">
        <f t="shared" si="17"/>
        <v>0</v>
      </c>
      <c r="S44" s="4">
        <f t="shared" si="17"/>
        <v>0</v>
      </c>
      <c r="T44" s="4">
        <f t="shared" si="17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/>
      <c r="G45" s="13"/>
      <c r="H45" s="10">
        <f t="shared" si="1"/>
        <v>0</v>
      </c>
      <c r="I45" s="38"/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0</v>
      </c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-2695</v>
      </c>
      <c r="G48" s="4">
        <f>G54+G49</f>
        <v>-2695</v>
      </c>
      <c r="H48" s="7">
        <f t="shared" si="1"/>
        <v>-2695</v>
      </c>
      <c r="I48" s="40">
        <f>I54+I49</f>
        <v>-225</v>
      </c>
      <c r="J48" s="40">
        <f>J54+J49</f>
        <v>-224</v>
      </c>
      <c r="K48" s="40">
        <f>K54+K49</f>
        <v>-225</v>
      </c>
      <c r="L48" s="40">
        <f>L54+L49</f>
        <v>-224</v>
      </c>
      <c r="M48" s="40">
        <f aca="true" t="shared" si="18" ref="M48:T48">M54+M49</f>
        <v>-225</v>
      </c>
      <c r="N48" s="4">
        <f t="shared" si="18"/>
        <v>-225</v>
      </c>
      <c r="O48" s="4">
        <f t="shared" si="18"/>
        <v>-224</v>
      </c>
      <c r="P48" s="4">
        <f t="shared" si="18"/>
        <v>-225</v>
      </c>
      <c r="Q48" s="4">
        <f t="shared" si="18"/>
        <v>-224</v>
      </c>
      <c r="R48" s="4">
        <f t="shared" si="18"/>
        <v>-225</v>
      </c>
      <c r="S48" s="4">
        <f t="shared" si="18"/>
        <v>-224</v>
      </c>
      <c r="T48" s="4">
        <f t="shared" si="18"/>
        <v>-225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-2695</v>
      </c>
      <c r="G49" s="4">
        <f>SUM(G50:G53)</f>
        <v>-2695</v>
      </c>
      <c r="H49" s="7">
        <f t="shared" si="1"/>
        <v>-2695</v>
      </c>
      <c r="I49" s="40">
        <f>SUM(I50:I53)</f>
        <v>-225</v>
      </c>
      <c r="J49" s="40">
        <f>SUM(J50:J53)</f>
        <v>-224</v>
      </c>
      <c r="K49" s="40">
        <f>SUM(K50:K53)</f>
        <v>-225</v>
      </c>
      <c r="L49" s="40">
        <f>SUM(L50:L53)</f>
        <v>-224</v>
      </c>
      <c r="M49" s="40">
        <f aca="true" t="shared" si="19" ref="M49:T49">SUM(M50:M53)</f>
        <v>-225</v>
      </c>
      <c r="N49" s="4">
        <f t="shared" si="19"/>
        <v>-225</v>
      </c>
      <c r="O49" s="4">
        <f t="shared" si="19"/>
        <v>-224</v>
      </c>
      <c r="P49" s="4">
        <f t="shared" si="19"/>
        <v>-225</v>
      </c>
      <c r="Q49" s="4">
        <f t="shared" si="19"/>
        <v>-224</v>
      </c>
      <c r="R49" s="4">
        <f t="shared" si="19"/>
        <v>-225</v>
      </c>
      <c r="S49" s="4">
        <f t="shared" si="19"/>
        <v>-224</v>
      </c>
      <c r="T49" s="4">
        <f t="shared" si="19"/>
        <v>-225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-2695</v>
      </c>
      <c r="G50" s="13">
        <v>-2695</v>
      </c>
      <c r="H50" s="10">
        <f t="shared" si="1"/>
        <v>-2695</v>
      </c>
      <c r="I50" s="38">
        <v>-225</v>
      </c>
      <c r="J50" s="38">
        <v>-224</v>
      </c>
      <c r="K50" s="38">
        <v>-225</v>
      </c>
      <c r="L50" s="38">
        <v>-224</v>
      </c>
      <c r="M50" s="38">
        <v>-225</v>
      </c>
      <c r="N50" s="38">
        <v>-225</v>
      </c>
      <c r="O50" s="38">
        <v>-224</v>
      </c>
      <c r="P50" s="38">
        <v>-225</v>
      </c>
      <c r="Q50" s="38">
        <v>-224</v>
      </c>
      <c r="R50" s="38">
        <v>-225</v>
      </c>
      <c r="S50" s="38">
        <v>-224</v>
      </c>
      <c r="T50" s="38">
        <v>-225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/>
      <c r="H51" s="10">
        <f t="shared" si="1"/>
        <v>0</v>
      </c>
      <c r="I51" s="38"/>
      <c r="J51" s="38"/>
      <c r="K51" s="38"/>
      <c r="L51" s="38"/>
      <c r="M51" s="38"/>
      <c r="N51" s="13"/>
      <c r="O51" s="13"/>
      <c r="P51" s="13"/>
      <c r="Q51" s="13"/>
      <c r="R51" s="13"/>
      <c r="S51" s="13"/>
      <c r="T51" s="13"/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0</v>
      </c>
      <c r="H55" s="7">
        <f t="shared" si="1"/>
        <v>0</v>
      </c>
      <c r="I55" s="40">
        <f>I57+I56</f>
        <v>0</v>
      </c>
      <c r="J55" s="40">
        <f>J57+J56</f>
        <v>0</v>
      </c>
      <c r="K55" s="40">
        <f>K57+K56</f>
        <v>0</v>
      </c>
      <c r="L55" s="40">
        <f>L57+L56</f>
        <v>0</v>
      </c>
      <c r="M55" s="40">
        <f aca="true" t="shared" si="20" ref="M55:T55">M57+M56</f>
        <v>0</v>
      </c>
      <c r="N55" s="4">
        <f t="shared" si="20"/>
        <v>0</v>
      </c>
      <c r="O55" s="4">
        <f t="shared" si="20"/>
        <v>0</v>
      </c>
      <c r="P55" s="4">
        <f t="shared" si="20"/>
        <v>0</v>
      </c>
      <c r="Q55" s="4">
        <f t="shared" si="20"/>
        <v>0</v>
      </c>
      <c r="R55" s="4">
        <f t="shared" si="20"/>
        <v>0</v>
      </c>
      <c r="S55" s="4">
        <f t="shared" si="20"/>
        <v>0</v>
      </c>
      <c r="T55" s="4">
        <f t="shared" si="20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/>
      <c r="H56" s="7">
        <f t="shared" si="1"/>
        <v>0</v>
      </c>
      <c r="I56" s="40"/>
      <c r="J56" s="40"/>
      <c r="K56" s="40"/>
      <c r="L56" s="40"/>
      <c r="M56" s="40"/>
      <c r="N56" s="4"/>
      <c r="O56" s="4"/>
      <c r="P56" s="4"/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5</v>
      </c>
      <c r="G59" s="7">
        <f>G3+G15+G18+G42</f>
        <v>5</v>
      </c>
      <c r="H59" s="7">
        <f t="shared" si="1"/>
        <v>5</v>
      </c>
      <c r="I59" s="43">
        <f>I3+I15+I18+I42</f>
        <v>0</v>
      </c>
      <c r="J59" s="43">
        <f>J3+J15+J18+J42</f>
        <v>1</v>
      </c>
      <c r="K59" s="43">
        <f>K3+K15+K18+K42</f>
        <v>0</v>
      </c>
      <c r="L59" s="43">
        <f>L3+L15+L18+L42</f>
        <v>1</v>
      </c>
      <c r="M59" s="43">
        <f aca="true" t="shared" si="21" ref="M59:T59">M3+M15+M18+M42</f>
        <v>0</v>
      </c>
      <c r="N59" s="7">
        <f t="shared" si="21"/>
        <v>0</v>
      </c>
      <c r="O59" s="7">
        <f t="shared" si="21"/>
        <v>1</v>
      </c>
      <c r="P59" s="7">
        <f t="shared" si="21"/>
        <v>0</v>
      </c>
      <c r="Q59" s="7">
        <f t="shared" si="21"/>
        <v>1</v>
      </c>
      <c r="R59" s="7">
        <f t="shared" si="21"/>
        <v>0</v>
      </c>
      <c r="S59" s="7">
        <f t="shared" si="21"/>
        <v>1</v>
      </c>
      <c r="T59" s="7">
        <f t="shared" si="21"/>
        <v>0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108</v>
      </c>
      <c r="O61" s="5" t="s">
        <v>109</v>
      </c>
      <c r="P61" s="5" t="s">
        <v>110</v>
      </c>
      <c r="Q61" s="5" t="s">
        <v>111</v>
      </c>
      <c r="R61" s="5" t="s">
        <v>98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0</v>
      </c>
      <c r="I62" s="44">
        <f>SUM(I63:I71)</f>
        <v>0</v>
      </c>
      <c r="J62" s="44">
        <f>SUM(J63:J71)</f>
        <v>0</v>
      </c>
      <c r="K62" s="44">
        <f>SUM(K63:K71)</f>
        <v>0</v>
      </c>
      <c r="L62" s="44">
        <f>SUM(L63:L71)</f>
        <v>0</v>
      </c>
      <c r="M62" s="44">
        <f aca="true" t="shared" si="22" ref="M62:T62">SUM(M63:M71)</f>
        <v>0</v>
      </c>
      <c r="N62">
        <f t="shared" si="22"/>
        <v>0</v>
      </c>
      <c r="O62">
        <f t="shared" si="22"/>
        <v>0</v>
      </c>
      <c r="P62">
        <f t="shared" si="22"/>
        <v>0</v>
      </c>
      <c r="Q62">
        <f t="shared" si="22"/>
        <v>0</v>
      </c>
      <c r="R62">
        <f t="shared" si="22"/>
        <v>0</v>
      </c>
      <c r="S62">
        <f t="shared" si="22"/>
        <v>0</v>
      </c>
      <c r="T62">
        <f t="shared" si="22"/>
        <v>0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0</v>
      </c>
      <c r="I63" s="46"/>
      <c r="J63" s="46"/>
      <c r="K63" s="46"/>
      <c r="L63" s="46"/>
      <c r="M63" s="46"/>
      <c r="N63" s="24"/>
      <c r="O63" s="24"/>
      <c r="P63" s="24"/>
      <c r="Q63" s="24"/>
      <c r="R63" s="24"/>
      <c r="S63" s="24"/>
      <c r="T63" s="24"/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3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3"/>
        <v>0</v>
      </c>
      <c r="I65" s="47"/>
      <c r="J65" s="47"/>
      <c r="K65" s="47"/>
      <c r="L65" s="47"/>
      <c r="M65" s="47"/>
      <c r="N65" s="27"/>
      <c r="O65" s="27"/>
      <c r="P65" s="27"/>
      <c r="Q65" s="27"/>
      <c r="R65" s="27"/>
      <c r="S65" s="27"/>
      <c r="T65" s="27"/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3"/>
        <v>0</v>
      </c>
      <c r="I66" s="47"/>
      <c r="J66" s="47"/>
      <c r="K66" s="47"/>
      <c r="L66" s="47"/>
      <c r="M66" s="47"/>
      <c r="N66" s="27"/>
      <c r="O66" s="27"/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3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3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3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0</v>
      </c>
      <c r="I72" s="24">
        <f aca="true" t="shared" si="24" ref="I72:T72">I62*33/100</f>
        <v>0</v>
      </c>
      <c r="J72" s="24">
        <f t="shared" si="24"/>
        <v>0</v>
      </c>
      <c r="K72" s="24">
        <f t="shared" si="24"/>
        <v>0</v>
      </c>
      <c r="L72" s="24">
        <f t="shared" si="24"/>
        <v>0</v>
      </c>
      <c r="M72" s="24">
        <f t="shared" si="24"/>
        <v>0</v>
      </c>
      <c r="N72" s="24">
        <f t="shared" si="24"/>
        <v>0</v>
      </c>
      <c r="O72" s="24">
        <f t="shared" si="24"/>
        <v>0</v>
      </c>
      <c r="P72" s="24">
        <f t="shared" si="24"/>
        <v>0</v>
      </c>
      <c r="Q72" s="24">
        <f t="shared" si="24"/>
        <v>0</v>
      </c>
      <c r="R72" s="24">
        <f t="shared" si="24"/>
        <v>0</v>
      </c>
      <c r="S72" s="24">
        <f t="shared" si="24"/>
        <v>0</v>
      </c>
      <c r="T72" s="24">
        <f t="shared" si="24"/>
        <v>0</v>
      </c>
    </row>
    <row r="73" spans="5:20" ht="12.75">
      <c r="E73" s="28" t="s">
        <v>74</v>
      </c>
      <c r="F73" s="28"/>
      <c r="G73" s="28"/>
      <c r="H73" s="21">
        <f>SUM(I73:T73)</f>
        <v>0</v>
      </c>
      <c r="I73" s="24">
        <f aca="true" t="shared" si="25" ref="I73:T73">1.4*I62/100</f>
        <v>0</v>
      </c>
      <c r="J73" s="24">
        <f t="shared" si="25"/>
        <v>0</v>
      </c>
      <c r="K73" s="24">
        <f t="shared" si="25"/>
        <v>0</v>
      </c>
      <c r="L73" s="24">
        <f t="shared" si="25"/>
        <v>0</v>
      </c>
      <c r="M73" s="24">
        <f t="shared" si="25"/>
        <v>0</v>
      </c>
      <c r="N73" s="24">
        <f t="shared" si="25"/>
        <v>0</v>
      </c>
      <c r="O73" s="24">
        <f t="shared" si="25"/>
        <v>0</v>
      </c>
      <c r="P73" s="24">
        <f t="shared" si="25"/>
        <v>0</v>
      </c>
      <c r="Q73" s="24">
        <f t="shared" si="25"/>
        <v>0</v>
      </c>
      <c r="R73" s="24">
        <f t="shared" si="25"/>
        <v>0</v>
      </c>
      <c r="S73" s="24">
        <f t="shared" si="25"/>
        <v>0</v>
      </c>
      <c r="T73" s="24">
        <f t="shared" si="25"/>
        <v>0</v>
      </c>
    </row>
    <row r="74" spans="6:20" ht="12.75">
      <c r="F74" s="29"/>
      <c r="G74" s="29"/>
      <c r="H74" s="21">
        <f>SUM(I74:T74)</f>
        <v>0</v>
      </c>
      <c r="I74" s="24">
        <f aca="true" t="shared" si="26" ref="I74:T74">I62+I72+I73</f>
        <v>0</v>
      </c>
      <c r="J74" s="24">
        <f t="shared" si="26"/>
        <v>0</v>
      </c>
      <c r="K74" s="24">
        <f t="shared" si="26"/>
        <v>0</v>
      </c>
      <c r="L74" s="24">
        <f t="shared" si="26"/>
        <v>0</v>
      </c>
      <c r="M74" s="24">
        <f t="shared" si="26"/>
        <v>0</v>
      </c>
      <c r="N74" s="24">
        <f t="shared" si="26"/>
        <v>0</v>
      </c>
      <c r="O74" s="24">
        <f t="shared" si="26"/>
        <v>0</v>
      </c>
      <c r="P74" s="24">
        <f t="shared" si="26"/>
        <v>0</v>
      </c>
      <c r="Q74" s="24">
        <f t="shared" si="26"/>
        <v>0</v>
      </c>
      <c r="R74" s="24">
        <f t="shared" si="26"/>
        <v>0</v>
      </c>
      <c r="S74" s="24">
        <f t="shared" si="26"/>
        <v>0</v>
      </c>
      <c r="T74" s="24">
        <f t="shared" si="26"/>
        <v>0</v>
      </c>
    </row>
    <row r="75" spans="5:20" ht="12.75">
      <c r="E75" s="30" t="s">
        <v>75</v>
      </c>
      <c r="H75" s="21" t="s">
        <v>76</v>
      </c>
      <c r="I75" s="48">
        <v>10</v>
      </c>
      <c r="J75" s="48">
        <v>10</v>
      </c>
      <c r="K75" s="48">
        <v>10</v>
      </c>
      <c r="L75" s="48">
        <v>10</v>
      </c>
      <c r="M75" s="48">
        <v>10</v>
      </c>
      <c r="N75" s="48">
        <v>10</v>
      </c>
      <c r="O75" s="48">
        <v>10</v>
      </c>
      <c r="P75" s="48">
        <v>10</v>
      </c>
      <c r="Q75" s="48">
        <v>10</v>
      </c>
      <c r="R75" s="48">
        <v>10</v>
      </c>
      <c r="S75" s="48">
        <v>10</v>
      </c>
      <c r="T75" s="48">
        <v>10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7" ref="H77:H96">SUM(I77:T77)</f>
        <v>0</v>
      </c>
      <c r="I77" s="32"/>
      <c r="J77" s="32"/>
      <c r="K77" s="32"/>
      <c r="L77" s="32"/>
      <c r="M77" s="32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32" t="s">
        <v>78</v>
      </c>
      <c r="H78" s="7">
        <f t="shared" si="27"/>
        <v>0</v>
      </c>
      <c r="I78" s="40"/>
      <c r="J78" s="40"/>
      <c r="K78" s="40"/>
      <c r="L78" s="40"/>
      <c r="M78" s="40"/>
      <c r="N78" s="4"/>
      <c r="O78" s="4"/>
      <c r="P78" s="4">
        <f>P75*P77</f>
        <v>0</v>
      </c>
      <c r="Q78" s="4">
        <f>Q75*Q77</f>
        <v>0</v>
      </c>
      <c r="R78" s="4">
        <f>R75*R77</f>
        <v>0</v>
      </c>
      <c r="S78" s="4">
        <f>S75*S77</f>
        <v>0</v>
      </c>
      <c r="T78" s="4">
        <f>T75*T77</f>
        <v>0</v>
      </c>
    </row>
    <row r="79" spans="1:20" ht="12.75">
      <c r="A79" s="1"/>
      <c r="B79" s="1"/>
      <c r="C79" s="1"/>
      <c r="D79" s="1"/>
      <c r="E79" s="32" t="s">
        <v>141</v>
      </c>
      <c r="H79" s="7">
        <f t="shared" si="27"/>
        <v>0</v>
      </c>
      <c r="I79" s="40"/>
      <c r="J79" s="40"/>
      <c r="K79" s="40"/>
      <c r="L79" s="40"/>
      <c r="M79" s="40"/>
      <c r="N79" s="4"/>
      <c r="O79" s="4"/>
      <c r="P79" s="4"/>
      <c r="Q79" s="4"/>
      <c r="R79" s="4"/>
      <c r="S79" s="4"/>
      <c r="T79" s="4"/>
    </row>
    <row r="80" spans="1:20" ht="12.75">
      <c r="A80" s="1"/>
      <c r="B80" s="1"/>
      <c r="C80" s="1"/>
      <c r="D80" s="1"/>
      <c r="E80" s="32" t="s">
        <v>142</v>
      </c>
      <c r="H80" s="7">
        <f t="shared" si="27"/>
        <v>0</v>
      </c>
      <c r="I80" s="40"/>
      <c r="J80" s="40"/>
      <c r="K80" s="40"/>
      <c r="L80" s="40"/>
      <c r="M80" s="40"/>
      <c r="N80" s="4"/>
      <c r="O80" s="4"/>
      <c r="P80" s="4"/>
      <c r="Q80" s="4"/>
      <c r="R80" s="4"/>
      <c r="S80" s="4"/>
      <c r="T80" s="4"/>
    </row>
    <row r="81" spans="1:20" ht="12.75">
      <c r="A81" s="1"/>
      <c r="B81" s="1"/>
      <c r="C81" s="1"/>
      <c r="D81" s="1"/>
      <c r="E81" s="32" t="s">
        <v>143</v>
      </c>
      <c r="H81" s="7">
        <f t="shared" si="27"/>
        <v>0</v>
      </c>
      <c r="I81" s="40"/>
      <c r="J81" s="40"/>
      <c r="K81" s="40"/>
      <c r="L81" s="40"/>
      <c r="M81" s="40"/>
      <c r="N81" s="4"/>
      <c r="O81" s="4"/>
      <c r="P81" s="4"/>
      <c r="Q81" s="4"/>
      <c r="R81" s="4"/>
      <c r="S81" s="4"/>
      <c r="T81" s="4"/>
    </row>
    <row r="82" spans="1:20" ht="12.75">
      <c r="A82" s="1"/>
      <c r="B82" s="1"/>
      <c r="C82" s="1"/>
      <c r="D82" s="1"/>
      <c r="E82" s="32" t="s">
        <v>144</v>
      </c>
      <c r="H82" s="7">
        <f t="shared" si="27"/>
        <v>0</v>
      </c>
      <c r="I82" s="40"/>
      <c r="J82" s="40"/>
      <c r="K82" s="40"/>
      <c r="L82" s="40"/>
      <c r="M82" s="40"/>
      <c r="N82" s="4"/>
      <c r="O82" s="4"/>
      <c r="P82" s="4"/>
      <c r="Q82" s="4"/>
      <c r="R82" s="4"/>
      <c r="S82" s="4"/>
      <c r="T82" s="4"/>
    </row>
    <row r="83" spans="1:20" ht="18">
      <c r="A83" s="1"/>
      <c r="B83" s="1"/>
      <c r="C83" s="1"/>
      <c r="D83" s="1"/>
      <c r="E83" s="33"/>
      <c r="F83" s="2"/>
      <c r="G83" s="2"/>
      <c r="H83" s="7">
        <f t="shared" si="27"/>
        <v>0</v>
      </c>
      <c r="I83" s="38"/>
      <c r="J83" s="38"/>
      <c r="K83" s="38"/>
      <c r="L83" s="38"/>
      <c r="M83" s="38"/>
      <c r="N83" s="13"/>
      <c r="O83" s="13"/>
      <c r="P83" s="13"/>
      <c r="Q83" s="13"/>
      <c r="R83" s="13"/>
      <c r="S83" s="13"/>
      <c r="T83" s="13"/>
    </row>
    <row r="84" spans="1:20" ht="12.75">
      <c r="A84" s="1"/>
      <c r="B84" s="1"/>
      <c r="C84" s="1"/>
      <c r="D84" s="1"/>
      <c r="E84" s="32" t="s">
        <v>80</v>
      </c>
      <c r="H84" s="7">
        <f t="shared" si="27"/>
        <v>0</v>
      </c>
      <c r="I84" s="38"/>
      <c r="J84" s="38"/>
      <c r="K84" s="38"/>
      <c r="L84" s="38"/>
      <c r="M84" s="38"/>
      <c r="N84" s="13"/>
      <c r="O84" s="13"/>
      <c r="P84" s="13"/>
      <c r="Q84" s="13"/>
      <c r="R84" s="13"/>
      <c r="S84" s="13"/>
      <c r="T84" s="13"/>
    </row>
    <row r="85" spans="1:20" ht="12.75">
      <c r="A85" s="1"/>
      <c r="B85" s="1"/>
      <c r="C85" s="1"/>
      <c r="D85" s="1"/>
      <c r="E85" s="32" t="s">
        <v>81</v>
      </c>
      <c r="F85" s="22"/>
      <c r="G85" s="22"/>
      <c r="H85" s="7">
        <f t="shared" si="27"/>
        <v>0</v>
      </c>
      <c r="I85" s="40"/>
      <c r="J85" s="40"/>
      <c r="K85" s="40"/>
      <c r="L85" s="40"/>
      <c r="M85" s="40"/>
      <c r="N85" s="4"/>
      <c r="O85" s="4"/>
      <c r="P85" s="4"/>
      <c r="Q85" s="4"/>
      <c r="R85" s="4"/>
      <c r="S85" s="4"/>
      <c r="T85" s="4"/>
    </row>
    <row r="86" spans="1:20" ht="12.75">
      <c r="A86" s="1"/>
      <c r="B86" s="1"/>
      <c r="C86" s="1"/>
      <c r="D86" s="1"/>
      <c r="E86" s="33"/>
      <c r="F86" s="22"/>
      <c r="G86" s="22"/>
      <c r="H86" s="7">
        <f t="shared" si="27"/>
        <v>0</v>
      </c>
      <c r="I86" s="38"/>
      <c r="J86" s="38"/>
      <c r="K86" s="38"/>
      <c r="L86" s="38"/>
      <c r="M86" s="38"/>
      <c r="N86" s="13"/>
      <c r="O86" s="13"/>
      <c r="P86" s="13"/>
      <c r="Q86" s="13"/>
      <c r="R86" s="13"/>
      <c r="S86" s="13"/>
      <c r="T86" s="13"/>
    </row>
    <row r="87" spans="1:20" ht="12.75">
      <c r="A87" s="1"/>
      <c r="B87" s="1"/>
      <c r="C87" s="1"/>
      <c r="D87" s="1"/>
      <c r="E87" s="32" t="s">
        <v>101</v>
      </c>
      <c r="F87" s="26"/>
      <c r="G87" s="26"/>
      <c r="H87" s="7">
        <f t="shared" si="27"/>
        <v>0</v>
      </c>
      <c r="I87" s="32"/>
      <c r="J87" s="32"/>
      <c r="K87" s="32"/>
      <c r="L87" s="32"/>
      <c r="M87" s="32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32" t="s">
        <v>81</v>
      </c>
      <c r="F88" s="26"/>
      <c r="G88" s="26"/>
      <c r="H88" s="7">
        <f t="shared" si="27"/>
        <v>0</v>
      </c>
      <c r="I88" s="40"/>
      <c r="J88" s="40"/>
      <c r="K88" s="40"/>
      <c r="L88" s="40"/>
      <c r="M88" s="40"/>
      <c r="N88" s="4"/>
      <c r="O88" s="4"/>
      <c r="P88" s="4"/>
      <c r="Q88" s="4"/>
      <c r="R88" s="4"/>
      <c r="S88" s="4"/>
      <c r="T88" s="4"/>
    </row>
    <row r="89" spans="5:20" ht="12.75">
      <c r="E89" s="33" t="s">
        <v>137</v>
      </c>
      <c r="F89" s="26"/>
      <c r="G89" s="26" t="s">
        <v>83</v>
      </c>
      <c r="H89" s="7">
        <f t="shared" si="27"/>
        <v>0</v>
      </c>
      <c r="I89" s="44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8">
      <c r="A90" s="1"/>
      <c r="B90" s="1"/>
      <c r="C90" s="1"/>
      <c r="D90" s="1"/>
      <c r="E90" s="2"/>
      <c r="H90" s="3">
        <f t="shared" si="27"/>
        <v>0</v>
      </c>
      <c r="I90" s="40" t="s">
        <v>89</v>
      </c>
      <c r="J90" s="40" t="s">
        <v>90</v>
      </c>
      <c r="K90" s="40" t="s">
        <v>91</v>
      </c>
      <c r="L90" s="45" t="s">
        <v>92</v>
      </c>
      <c r="M90" s="40" t="s">
        <v>93</v>
      </c>
      <c r="N90" s="4" t="s">
        <v>94</v>
      </c>
      <c r="O90" s="4" t="s">
        <v>95</v>
      </c>
      <c r="P90" s="5" t="s">
        <v>96</v>
      </c>
      <c r="Q90" s="4" t="s">
        <v>97</v>
      </c>
      <c r="R90" s="4" t="s">
        <v>98</v>
      </c>
      <c r="S90" s="4" t="s">
        <v>99</v>
      </c>
      <c r="T90" s="5" t="s">
        <v>100</v>
      </c>
    </row>
    <row r="91" spans="5:20" ht="12.75">
      <c r="E91" s="18" t="s">
        <v>150</v>
      </c>
      <c r="H91" s="21">
        <f t="shared" si="27"/>
        <v>0</v>
      </c>
      <c r="I91" s="44">
        <f>SUM(I92:I97)</f>
        <v>0</v>
      </c>
      <c r="J91" s="44">
        <f>SUM(J92:J97)</f>
        <v>0</v>
      </c>
      <c r="K91" s="44">
        <f>SUM(K92:K97)</f>
        <v>0</v>
      </c>
      <c r="L91" s="44">
        <f>SUM(L92:L97)</f>
        <v>0</v>
      </c>
      <c r="M91" s="44">
        <f aca="true" t="shared" si="28" ref="M91:T91">SUM(M92:M97)</f>
        <v>0</v>
      </c>
      <c r="N91">
        <f t="shared" si="28"/>
        <v>0</v>
      </c>
      <c r="O91">
        <f t="shared" si="28"/>
        <v>0</v>
      </c>
      <c r="P91">
        <f t="shared" si="28"/>
        <v>0</v>
      </c>
      <c r="Q91">
        <f t="shared" si="28"/>
        <v>0</v>
      </c>
      <c r="R91">
        <f t="shared" si="28"/>
        <v>0</v>
      </c>
      <c r="S91">
        <f t="shared" si="28"/>
        <v>0</v>
      </c>
      <c r="T91">
        <f t="shared" si="28"/>
        <v>0</v>
      </c>
    </row>
    <row r="92" spans="1:13" s="25" customFormat="1" ht="12.75">
      <c r="A92" s="22"/>
      <c r="B92" s="22"/>
      <c r="C92" s="22"/>
      <c r="D92" s="22"/>
      <c r="E92" s="22" t="s">
        <v>148</v>
      </c>
      <c r="F92" s="18"/>
      <c r="G92" s="18"/>
      <c r="H92" s="23">
        <f t="shared" si="27"/>
        <v>0</v>
      </c>
      <c r="I92" s="49"/>
      <c r="J92" s="49"/>
      <c r="K92" s="49"/>
      <c r="L92" s="49"/>
      <c r="M92" s="49"/>
    </row>
    <row r="93" spans="1:13" s="25" customFormat="1" ht="12.75">
      <c r="A93" s="22"/>
      <c r="B93" s="22"/>
      <c r="C93" s="22"/>
      <c r="D93" s="22"/>
      <c r="E93" s="22" t="s">
        <v>86</v>
      </c>
      <c r="F93" s="18"/>
      <c r="G93" s="18"/>
      <c r="H93" s="23">
        <f t="shared" si="27"/>
        <v>0</v>
      </c>
      <c r="I93" s="49"/>
      <c r="J93" s="49"/>
      <c r="K93" s="49"/>
      <c r="L93" s="49"/>
      <c r="M93" s="49"/>
    </row>
    <row r="94" spans="1:13" s="25" customFormat="1" ht="12.75">
      <c r="A94" s="22"/>
      <c r="B94" s="22"/>
      <c r="C94" s="22"/>
      <c r="D94" s="22"/>
      <c r="E94" s="26" t="s">
        <v>107</v>
      </c>
      <c r="F94" s="18"/>
      <c r="G94" s="18"/>
      <c r="H94" s="23">
        <f t="shared" si="27"/>
        <v>0</v>
      </c>
      <c r="I94" s="49"/>
      <c r="J94" s="49"/>
      <c r="K94" s="49"/>
      <c r="L94" s="49"/>
      <c r="M94" s="49"/>
    </row>
    <row r="95" spans="1:13" s="25" customFormat="1" ht="12.75">
      <c r="A95" s="22"/>
      <c r="B95" s="22"/>
      <c r="C95" s="22"/>
      <c r="D95" s="22"/>
      <c r="E95" s="26" t="s">
        <v>87</v>
      </c>
      <c r="F95" s="18"/>
      <c r="G95" s="18"/>
      <c r="H95" s="23">
        <f t="shared" si="27"/>
        <v>0</v>
      </c>
      <c r="I95" s="49"/>
      <c r="J95" s="49"/>
      <c r="K95" s="49"/>
      <c r="L95" s="49"/>
      <c r="M95" s="49"/>
    </row>
    <row r="96" spans="1:13" s="25" customFormat="1" ht="12.75">
      <c r="A96" s="22"/>
      <c r="B96" s="22"/>
      <c r="C96" s="22"/>
      <c r="D96" s="22"/>
      <c r="E96" s="26" t="s">
        <v>88</v>
      </c>
      <c r="F96" s="18"/>
      <c r="G96" s="18"/>
      <c r="H96" s="23">
        <f t="shared" si="27"/>
        <v>0</v>
      </c>
      <c r="I96" s="49"/>
      <c r="J96" s="49"/>
      <c r="K96" s="49"/>
      <c r="L96" s="49"/>
      <c r="M96" s="49"/>
    </row>
    <row r="97" spans="1:13" s="25" customFormat="1" ht="11.25">
      <c r="A97" s="22"/>
      <c r="B97" s="22"/>
      <c r="C97" s="22"/>
      <c r="D97" s="22"/>
      <c r="E97" s="26" t="s">
        <v>140</v>
      </c>
      <c r="F97" s="22"/>
      <c r="G97" s="22"/>
      <c r="H97" s="23"/>
      <c r="I97" s="49"/>
      <c r="J97" s="49"/>
      <c r="K97" s="49"/>
      <c r="L97" s="49"/>
      <c r="M97" s="49"/>
    </row>
    <row r="98" spans="5:13" ht="12.75">
      <c r="E98" s="26" t="s">
        <v>145</v>
      </c>
      <c r="I98" s="44"/>
      <c r="M98" s="49"/>
    </row>
    <row r="99" ht="12.75">
      <c r="I99" s="44"/>
    </row>
    <row r="100" spans="5:9" ht="12.75">
      <c r="E100" s="26" t="s">
        <v>146</v>
      </c>
      <c r="I100" s="44"/>
    </row>
    <row r="101" spans="5:9" ht="12.75">
      <c r="E101" s="26" t="s">
        <v>147</v>
      </c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3"/>
  <headerFooter alignWithMargins="0">
    <oddHeader>&amp;C&amp;F  &amp;D&amp;RValkla Joogivesi &amp;A
</oddHeader>
    <oddFooter>&amp;C&amp;F  &amp;D&amp;RValkla Joogivesi teg ala kood nr &amp;A</oddFooter>
  </headerFooter>
  <rowBreaks count="1" manualBreakCount="1">
    <brk id="60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68"/>
  <sheetViews>
    <sheetView zoomScalePageLayoutView="0" workbookViewId="0" topLeftCell="A1">
      <pane xSplit="8" ySplit="2" topLeftCell="Q45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Q16" sqref="Q16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265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95</v>
      </c>
      <c r="P2" s="5" t="s">
        <v>96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23918.17</v>
      </c>
      <c r="G3" s="4">
        <f>G4+G8+G12</f>
        <v>27478.1</v>
      </c>
      <c r="H3" s="7">
        <f>SUM(I3:T3)</f>
        <v>35338.88</v>
      </c>
      <c r="I3" s="40">
        <f>I4+I8+I12</f>
        <v>0</v>
      </c>
      <c r="J3" s="40">
        <f>J4+J8+J12</f>
        <v>0</v>
      </c>
      <c r="K3" s="40">
        <f>K4+K8+K12</f>
        <v>5195.8</v>
      </c>
      <c r="L3" s="40">
        <f>L4+L8+L12</f>
        <v>0</v>
      </c>
      <c r="M3" s="40">
        <f aca="true" t="shared" si="0" ref="M3:T3">M4+M8+M12</f>
        <v>0</v>
      </c>
      <c r="N3" s="4">
        <f t="shared" si="0"/>
        <v>8817.15</v>
      </c>
      <c r="O3" s="4">
        <f t="shared" si="0"/>
        <v>317.71</v>
      </c>
      <c r="P3" s="4">
        <f t="shared" si="0"/>
        <v>25.400000000000002</v>
      </c>
      <c r="Q3" s="4">
        <f t="shared" si="0"/>
        <v>9174.05</v>
      </c>
      <c r="R3" s="4">
        <f t="shared" si="0"/>
        <v>0</v>
      </c>
      <c r="S3" s="4">
        <f t="shared" si="0"/>
        <v>50.85</v>
      </c>
      <c r="T3" s="4">
        <f t="shared" si="0"/>
        <v>11757.92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20509.12</v>
      </c>
      <c r="G4" s="4">
        <f>G5</f>
        <v>24069.05</v>
      </c>
      <c r="H4" s="7">
        <f aca="true" t="shared" si="1" ref="H4:H60">SUM(I4:T4)</f>
        <v>33405.88</v>
      </c>
      <c r="I4" s="40">
        <f>I5</f>
        <v>0</v>
      </c>
      <c r="J4" s="40">
        <f>J5</f>
        <v>0</v>
      </c>
      <c r="K4" s="40">
        <f>K5</f>
        <v>5195.8</v>
      </c>
      <c r="L4" s="40">
        <f>L5</f>
        <v>0</v>
      </c>
      <c r="M4" s="40">
        <f aca="true" t="shared" si="2" ref="M4:T4">M5</f>
        <v>0</v>
      </c>
      <c r="N4" s="4">
        <f t="shared" si="2"/>
        <v>8817.15</v>
      </c>
      <c r="O4" s="4">
        <f t="shared" si="2"/>
        <v>317.71</v>
      </c>
      <c r="P4" s="4">
        <f t="shared" si="2"/>
        <v>25.400000000000002</v>
      </c>
      <c r="Q4" s="4">
        <f t="shared" si="2"/>
        <v>9174.05</v>
      </c>
      <c r="R4" s="4">
        <f t="shared" si="2"/>
        <v>0</v>
      </c>
      <c r="S4" s="4">
        <f t="shared" si="2"/>
        <v>50.85</v>
      </c>
      <c r="T4" s="4">
        <f t="shared" si="2"/>
        <v>9824.92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20509.12</v>
      </c>
      <c r="G5" s="4">
        <f>G7</f>
        <v>24069.05</v>
      </c>
      <c r="H5" s="7">
        <f t="shared" si="1"/>
        <v>33405.88</v>
      </c>
      <c r="I5" s="40">
        <f>I7</f>
        <v>0</v>
      </c>
      <c r="J5" s="40">
        <f>J7</f>
        <v>0</v>
      </c>
      <c r="K5" s="40">
        <f>K7</f>
        <v>5195.8</v>
      </c>
      <c r="L5" s="40">
        <f>L7</f>
        <v>0</v>
      </c>
      <c r="M5" s="40">
        <f aca="true" t="shared" si="3" ref="M5:T5">M7</f>
        <v>0</v>
      </c>
      <c r="N5" s="4">
        <f t="shared" si="3"/>
        <v>8817.15</v>
      </c>
      <c r="O5" s="4">
        <f t="shared" si="3"/>
        <v>317.71</v>
      </c>
      <c r="P5" s="4">
        <f t="shared" si="3"/>
        <v>25.400000000000002</v>
      </c>
      <c r="Q5" s="4">
        <f t="shared" si="3"/>
        <v>9174.05</v>
      </c>
      <c r="R5" s="4">
        <f t="shared" si="3"/>
        <v>0</v>
      </c>
      <c r="S5" s="4">
        <f t="shared" si="3"/>
        <v>50.85</v>
      </c>
      <c r="T5" s="4">
        <f t="shared" si="3"/>
        <v>9824.92</v>
      </c>
    </row>
    <row r="6" spans="1:20" s="11" customFormat="1" ht="11.25">
      <c r="A6" s="8"/>
      <c r="B6" s="8"/>
      <c r="C6" s="8"/>
      <c r="D6" s="8"/>
      <c r="E6" s="8" t="s">
        <v>9</v>
      </c>
      <c r="F6" s="9">
        <v>1070</v>
      </c>
      <c r="G6" s="9">
        <v>1074</v>
      </c>
      <c r="H6" s="10">
        <f t="shared" si="1"/>
        <v>1485</v>
      </c>
      <c r="I6" s="41">
        <f aca="true" t="shared" si="4" ref="I6:T7">I77</f>
        <v>0</v>
      </c>
      <c r="J6" s="41">
        <f t="shared" si="4"/>
        <v>0</v>
      </c>
      <c r="K6" s="41">
        <f t="shared" si="4"/>
        <v>159</v>
      </c>
      <c r="L6" s="41">
        <f t="shared" si="4"/>
        <v>0</v>
      </c>
      <c r="M6" s="41">
        <f t="shared" si="4"/>
        <v>0</v>
      </c>
      <c r="N6" s="9">
        <f t="shared" si="4"/>
        <v>573</v>
      </c>
      <c r="O6" s="9">
        <f t="shared" si="4"/>
        <v>25</v>
      </c>
      <c r="P6" s="9">
        <f t="shared" si="4"/>
        <v>2</v>
      </c>
      <c r="Q6" s="9">
        <f t="shared" si="4"/>
        <v>472</v>
      </c>
      <c r="R6" s="9">
        <f t="shared" si="4"/>
        <v>0</v>
      </c>
      <c r="S6" s="9">
        <f t="shared" si="4"/>
        <v>4</v>
      </c>
      <c r="T6" s="9">
        <f t="shared" si="4"/>
        <v>250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20509.12</v>
      </c>
      <c r="G7" s="13">
        <v>24069.05</v>
      </c>
      <c r="H7" s="10">
        <f t="shared" si="1"/>
        <v>33405.88</v>
      </c>
      <c r="I7" s="38">
        <f t="shared" si="4"/>
        <v>0</v>
      </c>
      <c r="J7" s="38">
        <f t="shared" si="4"/>
        <v>0</v>
      </c>
      <c r="K7" s="38">
        <f>K78+K82+K80</f>
        <v>5195.8</v>
      </c>
      <c r="L7" s="38">
        <f aca="true" t="shared" si="5" ref="L7:R7">L78+L82+L80</f>
        <v>0</v>
      </c>
      <c r="M7" s="38">
        <f t="shared" si="5"/>
        <v>0</v>
      </c>
      <c r="N7" s="38">
        <v>8817.15</v>
      </c>
      <c r="O7" s="38">
        <v>317.71</v>
      </c>
      <c r="P7" s="38">
        <f t="shared" si="5"/>
        <v>25.400000000000002</v>
      </c>
      <c r="Q7" s="38">
        <f t="shared" si="5"/>
        <v>9174.05</v>
      </c>
      <c r="R7" s="38">
        <f t="shared" si="5"/>
        <v>0</v>
      </c>
      <c r="S7" s="38">
        <v>50.85</v>
      </c>
      <c r="T7" s="38">
        <v>9824.92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3409.05</v>
      </c>
      <c r="G8" s="4">
        <f>G9+G11</f>
        <v>3409.05</v>
      </c>
      <c r="H8" s="7">
        <f t="shared" si="1"/>
        <v>1933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6" ref="M8:T8">M9+M11</f>
        <v>0</v>
      </c>
      <c r="N8" s="4">
        <f t="shared" si="6"/>
        <v>0</v>
      </c>
      <c r="O8" s="4">
        <f t="shared" si="6"/>
        <v>0</v>
      </c>
      <c r="P8" s="4">
        <f t="shared" si="6"/>
        <v>0</v>
      </c>
      <c r="Q8" s="4">
        <f t="shared" si="6"/>
        <v>0</v>
      </c>
      <c r="R8" s="4">
        <f t="shared" si="6"/>
        <v>0</v>
      </c>
      <c r="S8" s="4">
        <f t="shared" si="6"/>
        <v>0</v>
      </c>
      <c r="T8" s="4">
        <f t="shared" si="6"/>
        <v>1933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3409.05</v>
      </c>
      <c r="G9" s="4">
        <f>G10</f>
        <v>3409.05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7" ref="M9:T9">M10</f>
        <v>0</v>
      </c>
      <c r="N9" s="4">
        <f t="shared" si="7"/>
        <v>0</v>
      </c>
      <c r="O9" s="4">
        <f t="shared" si="7"/>
        <v>0</v>
      </c>
      <c r="P9" s="4">
        <f t="shared" si="7"/>
        <v>0</v>
      </c>
      <c r="Q9" s="4">
        <f t="shared" si="7"/>
        <v>0</v>
      </c>
      <c r="R9" s="4">
        <f t="shared" si="7"/>
        <v>0</v>
      </c>
      <c r="S9" s="4">
        <f t="shared" si="7"/>
        <v>0</v>
      </c>
      <c r="T9" s="4">
        <f t="shared" si="7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3409.05</v>
      </c>
      <c r="G10" s="13">
        <v>3409.05</v>
      </c>
      <c r="H10" s="10">
        <f t="shared" si="1"/>
        <v>0</v>
      </c>
      <c r="I10" s="38">
        <v>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1933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>
        <v>1933</v>
      </c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8" ref="I12:T13">I13</f>
        <v>0</v>
      </c>
      <c r="J12" s="40">
        <f t="shared" si="8"/>
        <v>0</v>
      </c>
      <c r="K12" s="40">
        <f t="shared" si="8"/>
        <v>0</v>
      </c>
      <c r="L12" s="40">
        <f t="shared" si="8"/>
        <v>0</v>
      </c>
      <c r="M12" s="40">
        <f t="shared" si="8"/>
        <v>0</v>
      </c>
      <c r="N12" s="4">
        <f t="shared" si="8"/>
        <v>0</v>
      </c>
      <c r="O12" s="4">
        <f t="shared" si="8"/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 t="shared" si="8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8"/>
        <v>0</v>
      </c>
      <c r="J13" s="40">
        <f t="shared" si="8"/>
        <v>0</v>
      </c>
      <c r="K13" s="40">
        <f t="shared" si="8"/>
        <v>0</v>
      </c>
      <c r="L13" s="40">
        <f t="shared" si="8"/>
        <v>0</v>
      </c>
      <c r="M13" s="40">
        <f t="shared" si="8"/>
        <v>0</v>
      </c>
      <c r="N13" s="4">
        <f t="shared" si="8"/>
        <v>0</v>
      </c>
      <c r="O13" s="4">
        <f t="shared" si="8"/>
        <v>0</v>
      </c>
      <c r="P13" s="4">
        <f t="shared" si="8"/>
        <v>0</v>
      </c>
      <c r="Q13" s="4">
        <f t="shared" si="8"/>
        <v>0</v>
      </c>
      <c r="R13" s="4">
        <f t="shared" si="8"/>
        <v>0</v>
      </c>
      <c r="S13" s="4">
        <f t="shared" si="8"/>
        <v>0</v>
      </c>
      <c r="T13" s="4">
        <f t="shared" si="8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9" ref="I15:T16">I16</f>
        <v>0</v>
      </c>
      <c r="J15" s="40">
        <f t="shared" si="9"/>
        <v>0</v>
      </c>
      <c r="K15" s="40">
        <f t="shared" si="9"/>
        <v>0</v>
      </c>
      <c r="L15" s="40">
        <f t="shared" si="9"/>
        <v>0</v>
      </c>
      <c r="M15" s="40">
        <f t="shared" si="9"/>
        <v>0</v>
      </c>
      <c r="N15" s="4">
        <f t="shared" si="9"/>
        <v>0</v>
      </c>
      <c r="O15" s="4">
        <f t="shared" si="9"/>
        <v>0</v>
      </c>
      <c r="P15" s="4">
        <f t="shared" si="9"/>
        <v>0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4">
        <f t="shared" si="9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9"/>
        <v>0</v>
      </c>
      <c r="J16" s="40">
        <f t="shared" si="9"/>
        <v>0</v>
      </c>
      <c r="K16" s="40">
        <f t="shared" si="9"/>
        <v>0</v>
      </c>
      <c r="L16" s="40">
        <f t="shared" si="9"/>
        <v>0</v>
      </c>
      <c r="M16" s="40">
        <f t="shared" si="9"/>
        <v>0</v>
      </c>
      <c r="N16" s="4">
        <f t="shared" si="9"/>
        <v>0</v>
      </c>
      <c r="O16" s="4">
        <f t="shared" si="9"/>
        <v>0</v>
      </c>
      <c r="P16" s="4">
        <f t="shared" si="9"/>
        <v>0</v>
      </c>
      <c r="Q16" s="4">
        <f t="shared" si="9"/>
        <v>0</v>
      </c>
      <c r="R16" s="4">
        <f t="shared" si="9"/>
        <v>0</v>
      </c>
      <c r="S16" s="4">
        <f t="shared" si="9"/>
        <v>0</v>
      </c>
      <c r="T16" s="4">
        <f t="shared" si="9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-23381.95</v>
      </c>
      <c r="G18" s="4">
        <f>G19+G27</f>
        <v>-24426.11</v>
      </c>
      <c r="H18" s="7">
        <f t="shared" si="1"/>
        <v>-16890.440000000002</v>
      </c>
      <c r="I18" s="40">
        <f>I19+I27</f>
        <v>-1138.46</v>
      </c>
      <c r="J18" s="40">
        <f>J19+J27</f>
        <v>-5234.26</v>
      </c>
      <c r="K18" s="40">
        <f>K19+K27</f>
        <v>-1778.93</v>
      </c>
      <c r="L18" s="40">
        <f>L19+L27</f>
        <v>-1191.17</v>
      </c>
      <c r="M18" s="40">
        <f aca="true" t="shared" si="10" ref="M18:T18">M19+M27</f>
        <v>-1222.7</v>
      </c>
      <c r="N18" s="4">
        <f t="shared" si="10"/>
        <v>0</v>
      </c>
      <c r="O18" s="4">
        <f t="shared" si="10"/>
        <v>-176.92</v>
      </c>
      <c r="P18" s="4">
        <f t="shared" si="10"/>
        <v>-227.56</v>
      </c>
      <c r="Q18" s="4">
        <f t="shared" si="10"/>
        <v>-2382.94</v>
      </c>
      <c r="R18" s="4">
        <f t="shared" si="10"/>
        <v>-1613.77</v>
      </c>
      <c r="S18" s="4">
        <f t="shared" si="10"/>
        <v>0.849999999999909</v>
      </c>
      <c r="T18" s="4">
        <f t="shared" si="10"/>
        <v>-1924.58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-11391.55</v>
      </c>
      <c r="G19" s="4">
        <f>G20+G26+G23</f>
        <v>-10895.75</v>
      </c>
      <c r="H19" s="7">
        <f t="shared" si="1"/>
        <v>-5196.8</v>
      </c>
      <c r="I19" s="40">
        <f>I20+I26+I23</f>
        <v>-928</v>
      </c>
      <c r="J19" s="40">
        <f>J20+J26+J23</f>
        <v>-928</v>
      </c>
      <c r="K19" s="40">
        <f>K20+K26+K23</f>
        <v>-928</v>
      </c>
      <c r="L19" s="40">
        <f>L20+L26+L23</f>
        <v>-928</v>
      </c>
      <c r="M19" s="40">
        <f aca="true" t="shared" si="11" ref="M19:T19">M20+M26+M23</f>
        <v>-1014.3</v>
      </c>
      <c r="N19" s="4">
        <f t="shared" si="11"/>
        <v>0</v>
      </c>
      <c r="O19" s="4">
        <f t="shared" si="11"/>
        <v>0</v>
      </c>
      <c r="P19" s="4">
        <f t="shared" si="11"/>
        <v>0</v>
      </c>
      <c r="Q19" s="4">
        <f t="shared" si="11"/>
        <v>0</v>
      </c>
      <c r="R19" s="4">
        <f t="shared" si="11"/>
        <v>0</v>
      </c>
      <c r="S19" s="4">
        <f t="shared" si="11"/>
        <v>0</v>
      </c>
      <c r="T19" s="4">
        <f t="shared" si="11"/>
        <v>-470.5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-8544.66</v>
      </c>
      <c r="G20" s="4">
        <f>SUM(G21:G22)</f>
        <v>-8136.75</v>
      </c>
      <c r="H20" s="7">
        <f t="shared" si="1"/>
        <v>-3870.8</v>
      </c>
      <c r="I20" s="40">
        <f>SUM(I21:I22)</f>
        <v>-690</v>
      </c>
      <c r="J20" s="40">
        <f>SUM(J21:J22)</f>
        <v>-690</v>
      </c>
      <c r="K20" s="40">
        <f>SUM(K21:K22)</f>
        <v>-690</v>
      </c>
      <c r="L20" s="40">
        <f>SUM(L21:L22)</f>
        <v>-690</v>
      </c>
      <c r="M20" s="40">
        <f aca="true" t="shared" si="12" ref="M20:T20">SUM(M21:M22)</f>
        <v>-761.3</v>
      </c>
      <c r="N20" s="4">
        <f t="shared" si="12"/>
        <v>0</v>
      </c>
      <c r="O20" s="4">
        <f t="shared" si="12"/>
        <v>0</v>
      </c>
      <c r="P20" s="4">
        <f t="shared" si="12"/>
        <v>0</v>
      </c>
      <c r="Q20" s="4">
        <f t="shared" si="12"/>
        <v>0</v>
      </c>
      <c r="R20" s="4">
        <f t="shared" si="12"/>
        <v>0</v>
      </c>
      <c r="S20" s="4">
        <f t="shared" si="12"/>
        <v>0</v>
      </c>
      <c r="T20" s="4">
        <f t="shared" si="12"/>
        <v>-349.5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-8544.66</v>
      </c>
      <c r="G21" s="13">
        <v>-8136.75</v>
      </c>
      <c r="H21" s="10">
        <f t="shared" si="1"/>
        <v>-3870.8</v>
      </c>
      <c r="I21" s="38">
        <v>-690</v>
      </c>
      <c r="J21" s="38">
        <v>-690</v>
      </c>
      <c r="K21" s="38">
        <v>-690</v>
      </c>
      <c r="L21" s="38">
        <v>-690</v>
      </c>
      <c r="M21" s="38">
        <v>-761.3</v>
      </c>
      <c r="N21" s="13"/>
      <c r="O21" s="13"/>
      <c r="P21" s="13"/>
      <c r="Q21" s="13"/>
      <c r="R21" s="13"/>
      <c r="S21" s="13"/>
      <c r="T21" s="13">
        <v>-349.5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3" ref="M23:T23">SUM(M24:M25)</f>
        <v>0</v>
      </c>
      <c r="N23" s="15">
        <f t="shared" si="13"/>
        <v>0</v>
      </c>
      <c r="O23" s="15">
        <f t="shared" si="13"/>
        <v>0</v>
      </c>
      <c r="P23" s="15">
        <f t="shared" si="13"/>
        <v>0</v>
      </c>
      <c r="Q23" s="15">
        <f t="shared" si="13"/>
        <v>0</v>
      </c>
      <c r="R23" s="15">
        <f t="shared" si="13"/>
        <v>0</v>
      </c>
      <c r="S23" s="15">
        <f t="shared" si="13"/>
        <v>0</v>
      </c>
      <c r="T23" s="15">
        <f t="shared" si="13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-2846.89</v>
      </c>
      <c r="G26" s="4">
        <v>-2759</v>
      </c>
      <c r="H26" s="7">
        <f t="shared" si="1"/>
        <v>-1326</v>
      </c>
      <c r="I26" s="40">
        <v>-238</v>
      </c>
      <c r="J26" s="40">
        <v>-238</v>
      </c>
      <c r="K26" s="40">
        <v>-238</v>
      </c>
      <c r="L26" s="40">
        <v>-238</v>
      </c>
      <c r="M26" s="40">
        <v>-253</v>
      </c>
      <c r="N26" s="4"/>
      <c r="O26" s="4"/>
      <c r="P26" s="4"/>
      <c r="Q26" s="4"/>
      <c r="R26" s="4"/>
      <c r="S26" s="4"/>
      <c r="T26" s="4">
        <v>-121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-11990.400000000001</v>
      </c>
      <c r="G27" s="4">
        <f>SUM(G28:G41)</f>
        <v>-13530.359999999999</v>
      </c>
      <c r="H27" s="7">
        <f t="shared" si="1"/>
        <v>-11693.640000000001</v>
      </c>
      <c r="I27" s="40">
        <f>SUM(I28:I41)</f>
        <v>-210.45999999999998</v>
      </c>
      <c r="J27" s="40">
        <f aca="true" t="shared" si="14" ref="J27:T27">SUM(J28:J41)</f>
        <v>-4306.26</v>
      </c>
      <c r="K27" s="40">
        <f t="shared" si="14"/>
        <v>-850.9300000000001</v>
      </c>
      <c r="L27" s="40">
        <f t="shared" si="14"/>
        <v>-263.17</v>
      </c>
      <c r="M27" s="40">
        <f t="shared" si="14"/>
        <v>-208.4</v>
      </c>
      <c r="N27" s="4">
        <f t="shared" si="14"/>
        <v>0</v>
      </c>
      <c r="O27" s="4">
        <f t="shared" si="14"/>
        <v>-176.92</v>
      </c>
      <c r="P27" s="4">
        <f t="shared" si="14"/>
        <v>-227.56</v>
      </c>
      <c r="Q27" s="4">
        <f t="shared" si="14"/>
        <v>-2382.94</v>
      </c>
      <c r="R27" s="4">
        <f t="shared" si="14"/>
        <v>-1613.77</v>
      </c>
      <c r="S27" s="4">
        <f t="shared" si="14"/>
        <v>0.849999999999909</v>
      </c>
      <c r="T27" s="4">
        <f t="shared" si="14"/>
        <v>-1454.08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-397.3</v>
      </c>
      <c r="G28" s="13">
        <v>-424.22</v>
      </c>
      <c r="H28" s="10">
        <f t="shared" si="1"/>
        <v>-1247.51</v>
      </c>
      <c r="I28" s="38">
        <v>-36.07</v>
      </c>
      <c r="J28" s="38">
        <v>-26.95</v>
      </c>
      <c r="K28" s="38">
        <v>-23.61</v>
      </c>
      <c r="L28" s="38">
        <v>-32.14</v>
      </c>
      <c r="M28" s="38">
        <v>-208.4</v>
      </c>
      <c r="N28" s="13"/>
      <c r="O28" s="13">
        <v>-176.92</v>
      </c>
      <c r="P28" s="13">
        <v>-227.56</v>
      </c>
      <c r="Q28" s="13">
        <v>-113.62</v>
      </c>
      <c r="R28" s="13">
        <v>-94.63</v>
      </c>
      <c r="S28" s="13">
        <v>-200.32</v>
      </c>
      <c r="T28" s="13">
        <v>-107.29</v>
      </c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/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-6442.36</v>
      </c>
      <c r="G31" s="13">
        <v>-8388.13</v>
      </c>
      <c r="H31" s="10">
        <f t="shared" si="1"/>
        <v>-4214.08</v>
      </c>
      <c r="I31" s="38"/>
      <c r="J31" s="38"/>
      <c r="K31" s="38"/>
      <c r="L31" s="38"/>
      <c r="M31" s="38"/>
      <c r="N31" s="13"/>
      <c r="O31" s="13"/>
      <c r="P31" s="13"/>
      <c r="Q31" s="13">
        <v>-2269.32</v>
      </c>
      <c r="R31" s="13">
        <v>-1519.14</v>
      </c>
      <c r="S31" s="13">
        <v>801.17</v>
      </c>
      <c r="T31" s="13">
        <v>-1226.79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-5114.13</v>
      </c>
      <c r="G32" s="13">
        <v>-4718.01</v>
      </c>
      <c r="H32" s="10">
        <f t="shared" si="1"/>
        <v>-838.77</v>
      </c>
      <c r="I32" s="38">
        <v>-174.39</v>
      </c>
      <c r="J32" s="38">
        <v>-220.15</v>
      </c>
      <c r="K32" s="38">
        <v>-213.2</v>
      </c>
      <c r="L32" s="38">
        <v>-231.03</v>
      </c>
      <c r="M32" s="38"/>
      <c r="N32" s="13"/>
      <c r="O32" s="13"/>
      <c r="P32" s="13">
        <v>0</v>
      </c>
      <c r="Q32" s="13">
        <v>0</v>
      </c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>
        <v>-30</v>
      </c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-6.61</v>
      </c>
      <c r="G34" s="13"/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/>
      <c r="H35" s="10">
        <f t="shared" si="1"/>
        <v>-4673.28</v>
      </c>
      <c r="I35" s="38"/>
      <c r="J35" s="38">
        <v>-4059.16</v>
      </c>
      <c r="K35" s="38">
        <v>-614.12</v>
      </c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0</v>
      </c>
      <c r="G38" s="13"/>
      <c r="H38" s="10">
        <f t="shared" si="1"/>
        <v>0</v>
      </c>
      <c r="I38" s="38"/>
      <c r="J38" s="38">
        <f>(J81+J85)*-1</f>
        <v>0</v>
      </c>
      <c r="K38" s="38">
        <v>0</v>
      </c>
      <c r="L38" s="38">
        <f>(L81+L85)*-1</f>
        <v>0</v>
      </c>
      <c r="M38" s="38">
        <f aca="true" t="shared" si="15" ref="M38:S38">(M81+M85)*-1</f>
        <v>0</v>
      </c>
      <c r="N38" s="13"/>
      <c r="O38" s="13">
        <f t="shared" si="15"/>
        <v>0</v>
      </c>
      <c r="P38" s="13">
        <f t="shared" si="15"/>
        <v>0</v>
      </c>
      <c r="Q38" s="13"/>
      <c r="R38" s="13">
        <f t="shared" si="15"/>
        <v>0</v>
      </c>
      <c r="S38" s="13">
        <f t="shared" si="15"/>
        <v>0</v>
      </c>
      <c r="T38" s="13"/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-720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>
        <v>-600</v>
      </c>
      <c r="T40" s="13">
        <v>-120</v>
      </c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-5375.3</v>
      </c>
      <c r="G42" s="4">
        <f>G43+G48+G55+G58</f>
        <v>-19421.91</v>
      </c>
      <c r="H42" s="4">
        <f t="shared" si="1"/>
        <v>-25304.26</v>
      </c>
      <c r="I42" s="40">
        <f aca="true" t="shared" si="16" ref="I42:T42">I43+I48+I55+I58</f>
        <v>-1519.8</v>
      </c>
      <c r="J42" s="40">
        <f t="shared" si="16"/>
        <v>-1518.41</v>
      </c>
      <c r="K42" s="40">
        <f t="shared" si="16"/>
        <v>-6774.02</v>
      </c>
      <c r="L42" s="40">
        <f t="shared" si="16"/>
        <v>-1516.63</v>
      </c>
      <c r="M42" s="40">
        <f t="shared" si="16"/>
        <v>-2535.24</v>
      </c>
      <c r="N42" s="4">
        <f t="shared" si="16"/>
        <v>-2419.06</v>
      </c>
      <c r="O42" s="4">
        <f t="shared" si="16"/>
        <v>-1512</v>
      </c>
      <c r="P42" s="4">
        <f t="shared" si="16"/>
        <v>-1540.3</v>
      </c>
      <c r="Q42" s="4">
        <f t="shared" si="16"/>
        <v>-2735.9300000000003</v>
      </c>
      <c r="R42" s="4">
        <f>R43+R48+R55+R58</f>
        <v>-1512</v>
      </c>
      <c r="S42" s="4">
        <f t="shared" si="16"/>
        <v>-1522</v>
      </c>
      <c r="T42" s="4">
        <f t="shared" si="16"/>
        <v>-198.87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-2682.3</v>
      </c>
      <c r="G43" s="4">
        <f>G44+G46+G47</f>
        <v>-2211</v>
      </c>
      <c r="H43" s="7">
        <f t="shared" si="1"/>
        <v>-8444.310000000001</v>
      </c>
      <c r="I43" s="40">
        <f aca="true" t="shared" si="17" ref="I43:T43">I44+I46+I47</f>
        <v>0</v>
      </c>
      <c r="J43" s="40">
        <f t="shared" si="17"/>
        <v>0</v>
      </c>
      <c r="K43" s="40">
        <f t="shared" si="17"/>
        <v>-5256</v>
      </c>
      <c r="L43" s="40">
        <f t="shared" si="17"/>
        <v>0</v>
      </c>
      <c r="M43" s="40">
        <f t="shared" si="17"/>
        <v>-1018</v>
      </c>
      <c r="N43" s="4">
        <f t="shared" si="17"/>
        <v>-900.21</v>
      </c>
      <c r="O43" s="4">
        <f t="shared" si="17"/>
        <v>0</v>
      </c>
      <c r="P43" s="4">
        <f t="shared" si="17"/>
        <v>-29.3</v>
      </c>
      <c r="Q43" s="4">
        <f t="shared" si="17"/>
        <v>-1222.93</v>
      </c>
      <c r="R43" s="4">
        <f t="shared" si="17"/>
        <v>0</v>
      </c>
      <c r="S43" s="4">
        <f t="shared" si="17"/>
        <v>-11</v>
      </c>
      <c r="T43" s="4">
        <f t="shared" si="17"/>
        <v>-6.87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-2682.3</v>
      </c>
      <c r="G44" s="4">
        <f>G45</f>
        <v>-2211</v>
      </c>
      <c r="H44" s="7">
        <f t="shared" si="1"/>
        <v>-8444.310000000001</v>
      </c>
      <c r="I44" s="40">
        <f>I45</f>
        <v>0</v>
      </c>
      <c r="J44" s="40">
        <f>J45</f>
        <v>0</v>
      </c>
      <c r="K44" s="40">
        <f>K45</f>
        <v>-5256</v>
      </c>
      <c r="L44" s="40">
        <f>L45</f>
        <v>0</v>
      </c>
      <c r="M44" s="40">
        <f aca="true" t="shared" si="18" ref="M44:T44">M45</f>
        <v>-1018</v>
      </c>
      <c r="N44" s="4">
        <f t="shared" si="18"/>
        <v>-900.21</v>
      </c>
      <c r="O44" s="4">
        <f t="shared" si="18"/>
        <v>0</v>
      </c>
      <c r="P44" s="4">
        <f t="shared" si="18"/>
        <v>-29.3</v>
      </c>
      <c r="Q44" s="4">
        <f t="shared" si="18"/>
        <v>-1222.93</v>
      </c>
      <c r="R44" s="4">
        <f t="shared" si="18"/>
        <v>0</v>
      </c>
      <c r="S44" s="4">
        <f t="shared" si="18"/>
        <v>-11</v>
      </c>
      <c r="T44" s="4">
        <f t="shared" si="18"/>
        <v>-6.87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-2682.3</v>
      </c>
      <c r="G45" s="13">
        <v>-2211</v>
      </c>
      <c r="H45" s="10">
        <f t="shared" si="1"/>
        <v>-8444.310000000001</v>
      </c>
      <c r="I45" s="38"/>
      <c r="J45" s="38"/>
      <c r="K45" s="38">
        <v>-5256</v>
      </c>
      <c r="L45" s="38"/>
      <c r="M45" s="38">
        <v>-1018</v>
      </c>
      <c r="N45" s="13">
        <v>-900.21</v>
      </c>
      <c r="O45" s="13"/>
      <c r="P45" s="13">
        <v>-29.3</v>
      </c>
      <c r="Q45" s="13">
        <v>-1222.93</v>
      </c>
      <c r="R45" s="13"/>
      <c r="S45" s="13">
        <v>-11</v>
      </c>
      <c r="T45" s="13">
        <v>-6.87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0</v>
      </c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-2693</v>
      </c>
      <c r="G48" s="4">
        <f>G54+G49</f>
        <v>-17147</v>
      </c>
      <c r="H48" s="7">
        <f t="shared" si="1"/>
        <v>-16825</v>
      </c>
      <c r="I48" s="40">
        <f>I54+I49</f>
        <v>-1513</v>
      </c>
      <c r="J48" s="40">
        <f>J54+J49</f>
        <v>-1512</v>
      </c>
      <c r="K48" s="40">
        <f>K54+K49</f>
        <v>-1512</v>
      </c>
      <c r="L48" s="40">
        <f>L54+L49</f>
        <v>-1511</v>
      </c>
      <c r="M48" s="40">
        <f aca="true" t="shared" si="19" ref="M48:T48">M54+M49</f>
        <v>-1512</v>
      </c>
      <c r="N48" s="4">
        <f t="shared" si="19"/>
        <v>-1514</v>
      </c>
      <c r="O48" s="4">
        <f t="shared" si="19"/>
        <v>-1512</v>
      </c>
      <c r="P48" s="4">
        <f t="shared" si="19"/>
        <v>-1511</v>
      </c>
      <c r="Q48" s="4">
        <f t="shared" si="19"/>
        <v>-1513</v>
      </c>
      <c r="R48" s="4">
        <f t="shared" si="19"/>
        <v>-1512</v>
      </c>
      <c r="S48" s="4">
        <f t="shared" si="19"/>
        <v>-1511</v>
      </c>
      <c r="T48" s="4">
        <f t="shared" si="19"/>
        <v>-192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-2693</v>
      </c>
      <c r="G49" s="4">
        <f>SUM(G50:G53)</f>
        <v>-17147</v>
      </c>
      <c r="H49" s="7">
        <f t="shared" si="1"/>
        <v>-16825</v>
      </c>
      <c r="I49" s="40">
        <f>SUM(I50:I53)</f>
        <v>-1513</v>
      </c>
      <c r="J49" s="40">
        <f>SUM(J50:J53)</f>
        <v>-1512</v>
      </c>
      <c r="K49" s="40">
        <f>SUM(K50:K53)</f>
        <v>-1512</v>
      </c>
      <c r="L49" s="40">
        <f>SUM(L50:L53)</f>
        <v>-1511</v>
      </c>
      <c r="M49" s="40">
        <f aca="true" t="shared" si="20" ref="M49:T49">SUM(M50:M53)</f>
        <v>-1512</v>
      </c>
      <c r="N49" s="4">
        <f t="shared" si="20"/>
        <v>-1514</v>
      </c>
      <c r="O49" s="4">
        <f t="shared" si="20"/>
        <v>-1512</v>
      </c>
      <c r="P49" s="4">
        <f t="shared" si="20"/>
        <v>-1511</v>
      </c>
      <c r="Q49" s="4">
        <f t="shared" si="20"/>
        <v>-1513</v>
      </c>
      <c r="R49" s="4">
        <f t="shared" si="20"/>
        <v>-1512</v>
      </c>
      <c r="S49" s="4">
        <f t="shared" si="20"/>
        <v>-1511</v>
      </c>
      <c r="T49" s="4">
        <f t="shared" si="20"/>
        <v>-192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-2693</v>
      </c>
      <c r="G50" s="13">
        <v>-16798</v>
      </c>
      <c r="H50" s="10">
        <f t="shared" si="1"/>
        <v>-14338</v>
      </c>
      <c r="I50" s="38">
        <v>-1463</v>
      </c>
      <c r="J50" s="38">
        <v>-1463</v>
      </c>
      <c r="K50" s="38">
        <v>-1462</v>
      </c>
      <c r="L50" s="38">
        <v>-1461</v>
      </c>
      <c r="M50" s="38">
        <v>-1463</v>
      </c>
      <c r="N50" s="38">
        <v>-1463</v>
      </c>
      <c r="O50" s="38">
        <v>-1462</v>
      </c>
      <c r="P50" s="38">
        <v>-1462</v>
      </c>
      <c r="Q50" s="38">
        <v>-1463</v>
      </c>
      <c r="R50" s="38">
        <v>-1462</v>
      </c>
      <c r="S50" s="38">
        <v>-1462</v>
      </c>
      <c r="T50" s="38">
        <v>1748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>
        <v>-349</v>
      </c>
      <c r="H51" s="10">
        <f t="shared" si="1"/>
        <v>-2487</v>
      </c>
      <c r="I51" s="38">
        <v>-50</v>
      </c>
      <c r="J51" s="38">
        <v>-49</v>
      </c>
      <c r="K51" s="38">
        <v>-50</v>
      </c>
      <c r="L51" s="38">
        <v>-50</v>
      </c>
      <c r="M51" s="38">
        <v>-49</v>
      </c>
      <c r="N51" s="13">
        <v>-51</v>
      </c>
      <c r="O51" s="13">
        <v>-50</v>
      </c>
      <c r="P51" s="13">
        <v>-49</v>
      </c>
      <c r="Q51" s="13">
        <v>-50</v>
      </c>
      <c r="R51" s="13">
        <v>-50</v>
      </c>
      <c r="S51" s="13">
        <v>-49</v>
      </c>
      <c r="T51" s="13">
        <v>-1940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-63.91</v>
      </c>
      <c r="H55" s="7">
        <f t="shared" si="1"/>
        <v>-34.95</v>
      </c>
      <c r="I55" s="40">
        <f>I57+I56</f>
        <v>-6.8</v>
      </c>
      <c r="J55" s="40">
        <f>J57+J56</f>
        <v>-6.41</v>
      </c>
      <c r="K55" s="40">
        <f>K57+K56</f>
        <v>-6.02</v>
      </c>
      <c r="L55" s="40">
        <f>L57+L56</f>
        <v>-5.63</v>
      </c>
      <c r="M55" s="40">
        <f aca="true" t="shared" si="21" ref="M55:T55">M57+M56</f>
        <v>-5.24</v>
      </c>
      <c r="N55" s="4">
        <f t="shared" si="21"/>
        <v>-4.85</v>
      </c>
      <c r="O55" s="4">
        <f t="shared" si="21"/>
        <v>0</v>
      </c>
      <c r="P55" s="4">
        <f t="shared" si="21"/>
        <v>0</v>
      </c>
      <c r="Q55" s="4">
        <f t="shared" si="21"/>
        <v>0</v>
      </c>
      <c r="R55" s="4">
        <f t="shared" si="21"/>
        <v>0</v>
      </c>
      <c r="S55" s="4">
        <f t="shared" si="21"/>
        <v>0</v>
      </c>
      <c r="T55" s="4">
        <f t="shared" si="21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>
        <v>-63.91</v>
      </c>
      <c r="H56" s="7">
        <f t="shared" si="1"/>
        <v>-34.95</v>
      </c>
      <c r="I56" s="40">
        <v>-6.8</v>
      </c>
      <c r="J56" s="40">
        <v>-6.41</v>
      </c>
      <c r="K56" s="40">
        <v>-6.02</v>
      </c>
      <c r="L56" s="40">
        <v>-5.63</v>
      </c>
      <c r="M56" s="40">
        <v>-5.24</v>
      </c>
      <c r="N56" s="4">
        <v>-4.85</v>
      </c>
      <c r="O56" s="4"/>
      <c r="P56" s="4">
        <v>0</v>
      </c>
      <c r="Q56" s="4"/>
      <c r="R56" s="4"/>
      <c r="S56" s="4">
        <v>0</v>
      </c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>
        <v>0</v>
      </c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-4839.080000000003</v>
      </c>
      <c r="G59" s="7">
        <f>G3+G15+G18+G42</f>
        <v>-16369.920000000002</v>
      </c>
      <c r="H59" s="7">
        <f t="shared" si="1"/>
        <v>-6855.8200000000015</v>
      </c>
      <c r="I59" s="43">
        <f>I3+I15+I18+I42</f>
        <v>-2658.26</v>
      </c>
      <c r="J59" s="43">
        <f>J3+J15+J18+J42</f>
        <v>-6752.67</v>
      </c>
      <c r="K59" s="43">
        <f>K3+K15+K18+K42</f>
        <v>-3357.1500000000005</v>
      </c>
      <c r="L59" s="43">
        <f>L3+L15+L18+L42</f>
        <v>-2707.8</v>
      </c>
      <c r="M59" s="43">
        <f aca="true" t="shared" si="22" ref="M59:T59">M3+M15+M18+M42</f>
        <v>-3757.9399999999996</v>
      </c>
      <c r="N59" s="7">
        <f t="shared" si="22"/>
        <v>6398.09</v>
      </c>
      <c r="O59" s="7">
        <f t="shared" si="22"/>
        <v>-1371.21</v>
      </c>
      <c r="P59" s="7">
        <f t="shared" si="22"/>
        <v>-1742.46</v>
      </c>
      <c r="Q59" s="7">
        <f t="shared" si="22"/>
        <v>4055.1799999999985</v>
      </c>
      <c r="R59" s="7">
        <f t="shared" si="22"/>
        <v>-3125.77</v>
      </c>
      <c r="S59" s="7">
        <f t="shared" si="22"/>
        <v>-1470.3000000000002</v>
      </c>
      <c r="T59" s="7">
        <f t="shared" si="22"/>
        <v>9634.47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265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108</v>
      </c>
      <c r="O61" s="5" t="s">
        <v>109</v>
      </c>
      <c r="P61" s="5" t="s">
        <v>96</v>
      </c>
      <c r="Q61" s="5" t="s">
        <v>97</v>
      </c>
      <c r="R61" s="5" t="s">
        <v>98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3870.8</v>
      </c>
      <c r="I62" s="44">
        <f>SUM(I63:I71)</f>
        <v>690</v>
      </c>
      <c r="J62" s="44">
        <f>SUM(J63:J71)</f>
        <v>690</v>
      </c>
      <c r="K62" s="44">
        <f>SUM(K63:K71)</f>
        <v>690</v>
      </c>
      <c r="L62" s="44">
        <f>SUM(L63:L71)</f>
        <v>690</v>
      </c>
      <c r="M62" s="44">
        <f aca="true" t="shared" si="23" ref="M62:T62">SUM(M63:M71)</f>
        <v>761.3</v>
      </c>
      <c r="N62">
        <f t="shared" si="23"/>
        <v>0</v>
      </c>
      <c r="O62">
        <f t="shared" si="23"/>
        <v>0</v>
      </c>
      <c r="P62">
        <f t="shared" si="23"/>
        <v>0</v>
      </c>
      <c r="Q62">
        <f t="shared" si="23"/>
        <v>0</v>
      </c>
      <c r="R62">
        <f t="shared" si="23"/>
        <v>0</v>
      </c>
      <c r="S62">
        <f t="shared" si="23"/>
        <v>0</v>
      </c>
      <c r="T62">
        <f t="shared" si="23"/>
        <v>349.5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2953.3</v>
      </c>
      <c r="I63" s="46">
        <v>690</v>
      </c>
      <c r="J63" s="46">
        <v>690</v>
      </c>
      <c r="K63" s="46">
        <v>690</v>
      </c>
      <c r="L63" s="46">
        <v>690</v>
      </c>
      <c r="M63" s="46"/>
      <c r="N63" s="24"/>
      <c r="O63" s="24"/>
      <c r="P63" s="24"/>
      <c r="Q63" s="24"/>
      <c r="R63" s="24"/>
      <c r="S63" s="24"/>
      <c r="T63" s="24">
        <v>193.3</v>
      </c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4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4"/>
        <v>156.2</v>
      </c>
      <c r="I65" s="47"/>
      <c r="J65" s="47"/>
      <c r="K65" s="47"/>
      <c r="L65" s="47"/>
      <c r="M65" s="47"/>
      <c r="N65" s="27"/>
      <c r="O65" s="27"/>
      <c r="P65" s="27"/>
      <c r="Q65" s="27"/>
      <c r="R65" s="27"/>
      <c r="S65" s="27"/>
      <c r="T65" s="27">
        <f>136.85+19.35</f>
        <v>156.2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4"/>
        <v>761.3</v>
      </c>
      <c r="I66" s="47"/>
      <c r="J66" s="47"/>
      <c r="K66" s="47"/>
      <c r="L66" s="47"/>
      <c r="M66" s="47">
        <f>689.9+71.4</f>
        <v>761.3</v>
      </c>
      <c r="N66" s="27"/>
      <c r="O66" s="27"/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4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4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4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1278.029</v>
      </c>
      <c r="I72" s="24">
        <f aca="true" t="shared" si="25" ref="I72:S72">I62*33/100</f>
        <v>227.7</v>
      </c>
      <c r="J72" s="24">
        <f t="shared" si="25"/>
        <v>227.7</v>
      </c>
      <c r="K72" s="24">
        <f t="shared" si="25"/>
        <v>227.7</v>
      </c>
      <c r="L72" s="24">
        <f t="shared" si="25"/>
        <v>227.7</v>
      </c>
      <c r="M72" s="24">
        <f t="shared" si="25"/>
        <v>251.22899999999998</v>
      </c>
      <c r="N72" s="24">
        <f t="shared" si="25"/>
        <v>0</v>
      </c>
      <c r="O72" s="24">
        <f t="shared" si="25"/>
        <v>0</v>
      </c>
      <c r="P72" s="24">
        <f t="shared" si="25"/>
        <v>0</v>
      </c>
      <c r="Q72" s="24">
        <f t="shared" si="25"/>
        <v>0</v>
      </c>
      <c r="R72" s="24">
        <f t="shared" si="25"/>
        <v>0</v>
      </c>
      <c r="S72" s="24">
        <f t="shared" si="25"/>
        <v>0</v>
      </c>
      <c r="T72" s="24">
        <v>116</v>
      </c>
    </row>
    <row r="73" spans="5:20" ht="12.75">
      <c r="E73" s="28" t="s">
        <v>74</v>
      </c>
      <c r="F73" s="28"/>
      <c r="G73" s="28"/>
      <c r="H73" s="21">
        <f>SUM(I73:T73)</f>
        <v>54.298199999999994</v>
      </c>
      <c r="I73" s="24">
        <f aca="true" t="shared" si="26" ref="I73:S73">1.4*I62/100</f>
        <v>9.659999999999998</v>
      </c>
      <c r="J73" s="24">
        <f t="shared" si="26"/>
        <v>9.659999999999998</v>
      </c>
      <c r="K73" s="24">
        <f t="shared" si="26"/>
        <v>9.659999999999998</v>
      </c>
      <c r="L73" s="24">
        <f t="shared" si="26"/>
        <v>9.659999999999998</v>
      </c>
      <c r="M73" s="24">
        <f t="shared" si="26"/>
        <v>10.658199999999999</v>
      </c>
      <c r="N73" s="24">
        <f t="shared" si="26"/>
        <v>0</v>
      </c>
      <c r="O73" s="24">
        <f t="shared" si="26"/>
        <v>0</v>
      </c>
      <c r="P73" s="24">
        <f t="shared" si="26"/>
        <v>0</v>
      </c>
      <c r="Q73" s="24">
        <f t="shared" si="26"/>
        <v>0</v>
      </c>
      <c r="R73" s="24">
        <f t="shared" si="26"/>
        <v>0</v>
      </c>
      <c r="S73" s="24">
        <f t="shared" si="26"/>
        <v>0</v>
      </c>
      <c r="T73" s="24">
        <v>5</v>
      </c>
    </row>
    <row r="74" spans="6:20" ht="12.75">
      <c r="F74" s="29"/>
      <c r="G74" s="29"/>
      <c r="H74" s="21">
        <f>SUM(I74:T74)</f>
        <v>5203.1272</v>
      </c>
      <c r="I74" s="24">
        <f aca="true" t="shared" si="27" ref="I74:T74">I62+I72+I73</f>
        <v>927.36</v>
      </c>
      <c r="J74" s="24">
        <f t="shared" si="27"/>
        <v>927.36</v>
      </c>
      <c r="K74" s="24">
        <f t="shared" si="27"/>
        <v>927.36</v>
      </c>
      <c r="L74" s="24">
        <f t="shared" si="27"/>
        <v>927.36</v>
      </c>
      <c r="M74" s="24">
        <f t="shared" si="27"/>
        <v>1023.1872</v>
      </c>
      <c r="N74" s="24">
        <f t="shared" si="27"/>
        <v>0</v>
      </c>
      <c r="O74" s="24">
        <f t="shared" si="27"/>
        <v>0</v>
      </c>
      <c r="P74" s="24">
        <f t="shared" si="27"/>
        <v>0</v>
      </c>
      <c r="Q74" s="24">
        <f t="shared" si="27"/>
        <v>0</v>
      </c>
      <c r="R74" s="24">
        <f t="shared" si="27"/>
        <v>0</v>
      </c>
      <c r="S74" s="24">
        <f t="shared" si="27"/>
        <v>0</v>
      </c>
      <c r="T74" s="24">
        <f t="shared" si="27"/>
        <v>470.5</v>
      </c>
    </row>
    <row r="75" spans="5:20" ht="12.75">
      <c r="E75" s="30" t="s">
        <v>75</v>
      </c>
      <c r="H75" s="21" t="s">
        <v>76</v>
      </c>
      <c r="I75" s="48">
        <v>12.71</v>
      </c>
      <c r="J75" s="48">
        <v>12.71</v>
      </c>
      <c r="K75" s="48">
        <v>12.71</v>
      </c>
      <c r="L75" s="48">
        <v>12.71</v>
      </c>
      <c r="M75" s="48">
        <v>12.71</v>
      </c>
      <c r="N75" s="48">
        <v>12.71</v>
      </c>
      <c r="O75" s="48">
        <v>12.71</v>
      </c>
      <c r="P75" s="48">
        <v>12.71</v>
      </c>
      <c r="Q75" s="48">
        <v>12.71</v>
      </c>
      <c r="R75" s="48">
        <v>12.71</v>
      </c>
      <c r="S75" s="48">
        <v>12.71</v>
      </c>
      <c r="T75" s="48">
        <v>12.71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8" ref="H77:H97">SUM(I77:T77)</f>
        <v>1485</v>
      </c>
      <c r="I77" s="32">
        <v>0</v>
      </c>
      <c r="J77" s="32"/>
      <c r="K77" s="32">
        <v>159</v>
      </c>
      <c r="L77" s="32">
        <v>0</v>
      </c>
      <c r="M77" s="32">
        <v>0</v>
      </c>
      <c r="N77" s="1">
        <v>573</v>
      </c>
      <c r="O77" s="1">
        <v>25</v>
      </c>
      <c r="P77" s="1">
        <v>2</v>
      </c>
      <c r="Q77" s="1">
        <v>472</v>
      </c>
      <c r="R77" s="1"/>
      <c r="S77" s="1">
        <v>4</v>
      </c>
      <c r="T77" s="1">
        <v>250</v>
      </c>
    </row>
    <row r="78" spans="1:20" ht="12.75">
      <c r="A78" s="1"/>
      <c r="B78" s="1"/>
      <c r="C78" s="1"/>
      <c r="D78" s="1"/>
      <c r="E78" s="32" t="s">
        <v>78</v>
      </c>
      <c r="H78" s="7">
        <f t="shared" si="28"/>
        <v>17233.37</v>
      </c>
      <c r="I78" s="40">
        <v>0</v>
      </c>
      <c r="J78" s="40"/>
      <c r="K78" s="40">
        <v>2020.8</v>
      </c>
      <c r="L78" s="40"/>
      <c r="M78" s="40"/>
      <c r="N78" s="4">
        <v>5642.15</v>
      </c>
      <c r="O78" s="4">
        <f>O75*O77</f>
        <v>317.75</v>
      </c>
      <c r="P78" s="4">
        <f>P75*P77-0.02</f>
        <v>25.400000000000002</v>
      </c>
      <c r="Q78" s="4">
        <v>5999.05</v>
      </c>
      <c r="R78" s="4">
        <f>R75*R77</f>
        <v>0</v>
      </c>
      <c r="S78" s="4">
        <v>50.85</v>
      </c>
      <c r="T78" s="4">
        <v>3177.37</v>
      </c>
    </row>
    <row r="79" spans="1:20" ht="12.75">
      <c r="A79" s="1"/>
      <c r="B79" s="1"/>
      <c r="C79" s="1"/>
      <c r="D79" s="1"/>
      <c r="E79" s="32" t="s">
        <v>141</v>
      </c>
      <c r="H79" s="7">
        <f t="shared" si="28"/>
        <v>0</v>
      </c>
      <c r="I79" s="40">
        <v>0</v>
      </c>
      <c r="J79" s="40"/>
      <c r="K79" s="40"/>
      <c r="L79" s="40"/>
      <c r="M79" s="40"/>
      <c r="N79" s="4"/>
      <c r="O79" s="4"/>
      <c r="P79" s="4"/>
      <c r="Q79" s="4"/>
      <c r="R79" s="4"/>
      <c r="S79" s="4"/>
      <c r="T79" s="4"/>
    </row>
    <row r="80" spans="1:20" ht="12.75">
      <c r="A80" s="1"/>
      <c r="B80" s="1"/>
      <c r="C80" s="1"/>
      <c r="D80" s="1"/>
      <c r="E80" s="32" t="s">
        <v>142</v>
      </c>
      <c r="H80" s="7">
        <f t="shared" si="28"/>
        <v>0</v>
      </c>
      <c r="I80" s="40">
        <v>0</v>
      </c>
      <c r="J80" s="40"/>
      <c r="K80" s="40"/>
      <c r="L80" s="40"/>
      <c r="M80" s="40"/>
      <c r="N80" s="4"/>
      <c r="O80" s="4"/>
      <c r="P80" s="4"/>
      <c r="Q80" s="4"/>
      <c r="R80" s="4"/>
      <c r="S80" s="4"/>
      <c r="T80" s="4"/>
    </row>
    <row r="81" spans="1:20" ht="12.75">
      <c r="A81" s="1"/>
      <c r="B81" s="1"/>
      <c r="C81" s="1"/>
      <c r="D81" s="1"/>
      <c r="E81" s="32" t="s">
        <v>143</v>
      </c>
      <c r="H81" s="7">
        <f t="shared" si="28"/>
        <v>201</v>
      </c>
      <c r="I81" s="40">
        <v>0</v>
      </c>
      <c r="J81" s="40"/>
      <c r="K81" s="40">
        <v>50</v>
      </c>
      <c r="L81" s="40">
        <v>0</v>
      </c>
      <c r="M81" s="40">
        <v>0</v>
      </c>
      <c r="N81" s="4">
        <v>50</v>
      </c>
      <c r="O81" s="4"/>
      <c r="P81" s="4"/>
      <c r="Q81" s="4">
        <v>50</v>
      </c>
      <c r="R81" s="4"/>
      <c r="S81" s="4"/>
      <c r="T81" s="4">
        <v>51</v>
      </c>
    </row>
    <row r="82" spans="1:20" ht="12.75">
      <c r="A82" s="1"/>
      <c r="B82" s="1"/>
      <c r="C82" s="1"/>
      <c r="D82" s="1"/>
      <c r="E82" s="32" t="s">
        <v>144</v>
      </c>
      <c r="H82" s="7">
        <f t="shared" si="28"/>
        <v>12764</v>
      </c>
      <c r="I82" s="40">
        <v>0</v>
      </c>
      <c r="J82" s="40"/>
      <c r="K82" s="40">
        <v>3175</v>
      </c>
      <c r="L82" s="40">
        <v>0</v>
      </c>
      <c r="M82" s="40">
        <v>0</v>
      </c>
      <c r="N82" s="4">
        <v>3175.5</v>
      </c>
      <c r="O82" s="4"/>
      <c r="P82" s="4"/>
      <c r="Q82" s="4">
        <v>3175</v>
      </c>
      <c r="R82" s="4"/>
      <c r="S82" s="4"/>
      <c r="T82" s="4">
        <v>3238.5</v>
      </c>
    </row>
    <row r="83" spans="1:20" ht="12.75">
      <c r="A83" s="1"/>
      <c r="B83" s="1"/>
      <c r="C83" s="1"/>
      <c r="D83" s="1"/>
      <c r="E83" s="32" t="s">
        <v>275</v>
      </c>
      <c r="H83" s="7">
        <f t="shared" si="28"/>
        <v>3409.05</v>
      </c>
      <c r="I83" s="40"/>
      <c r="J83" s="40"/>
      <c r="K83" s="40"/>
      <c r="L83" s="40"/>
      <c r="M83" s="40"/>
      <c r="N83" s="4"/>
      <c r="O83" s="4"/>
      <c r="P83" s="4"/>
      <c r="Q83" s="4"/>
      <c r="R83" s="4"/>
      <c r="S83" s="4"/>
      <c r="T83" s="4">
        <v>3409.05</v>
      </c>
    </row>
    <row r="84" spans="1:20" ht="18">
      <c r="A84" s="1"/>
      <c r="B84" s="1"/>
      <c r="C84" s="1"/>
      <c r="D84" s="1"/>
      <c r="E84" s="33" t="s">
        <v>136</v>
      </c>
      <c r="F84" s="2"/>
      <c r="G84" s="2"/>
      <c r="H84" s="7">
        <f t="shared" si="28"/>
        <v>0</v>
      </c>
      <c r="I84" s="38"/>
      <c r="J84" s="38"/>
      <c r="K84" s="38"/>
      <c r="L84" s="38"/>
      <c r="M84" s="59" t="s">
        <v>4</v>
      </c>
      <c r="N84" s="13"/>
      <c r="O84" s="13"/>
      <c r="P84" s="13"/>
      <c r="Q84" s="13"/>
      <c r="R84" s="13"/>
      <c r="S84" s="13"/>
      <c r="T84" s="13"/>
    </row>
    <row r="85" spans="1:20" ht="12.75">
      <c r="A85" s="1"/>
      <c r="B85" s="1"/>
      <c r="C85" s="1"/>
      <c r="D85" s="1"/>
      <c r="E85" s="32" t="s">
        <v>80</v>
      </c>
      <c r="H85" s="7">
        <f t="shared" si="28"/>
        <v>0</v>
      </c>
      <c r="I85" s="38"/>
      <c r="J85" s="38"/>
      <c r="K85" s="38"/>
      <c r="L85" s="38"/>
      <c r="M85" s="38"/>
      <c r="N85" s="13"/>
      <c r="O85" s="13"/>
      <c r="P85" s="13"/>
      <c r="Q85" s="13"/>
      <c r="R85" s="13"/>
      <c r="S85" s="13"/>
      <c r="T85" s="13"/>
    </row>
    <row r="86" spans="1:20" ht="12.75">
      <c r="A86" s="1"/>
      <c r="B86" s="1"/>
      <c r="C86" s="1"/>
      <c r="D86" s="1"/>
      <c r="E86" s="32" t="s">
        <v>81</v>
      </c>
      <c r="F86" s="22"/>
      <c r="G86" s="22"/>
      <c r="H86" s="7">
        <f t="shared" si="28"/>
        <v>0</v>
      </c>
      <c r="I86" s="40"/>
      <c r="J86" s="40"/>
      <c r="K86" s="40"/>
      <c r="L86" s="40"/>
      <c r="M86" s="40"/>
      <c r="N86" s="4"/>
      <c r="O86" s="4"/>
      <c r="P86" s="4"/>
      <c r="Q86" s="4"/>
      <c r="R86" s="4"/>
      <c r="S86" s="4"/>
      <c r="T86" s="4"/>
    </row>
    <row r="87" spans="1:20" ht="12.75">
      <c r="A87" s="1"/>
      <c r="B87" s="1"/>
      <c r="C87" s="1"/>
      <c r="D87" s="1"/>
      <c r="E87" s="33" t="s">
        <v>156</v>
      </c>
      <c r="F87" s="22"/>
      <c r="G87" s="22"/>
      <c r="H87" s="7">
        <f t="shared" si="28"/>
        <v>0</v>
      </c>
      <c r="I87" s="38"/>
      <c r="J87" s="38"/>
      <c r="K87" s="38"/>
      <c r="L87" s="38"/>
      <c r="M87" s="38"/>
      <c r="N87" s="13"/>
      <c r="O87" s="13"/>
      <c r="P87" s="13"/>
      <c r="Q87" s="13"/>
      <c r="R87" s="13"/>
      <c r="S87" s="13"/>
      <c r="T87" s="13"/>
    </row>
    <row r="88" spans="1:20" ht="12.75">
      <c r="A88" s="1"/>
      <c r="B88" s="1"/>
      <c r="C88" s="1"/>
      <c r="D88" s="1"/>
      <c r="E88" s="32" t="s">
        <v>101</v>
      </c>
      <c r="F88" s="26"/>
      <c r="G88" s="26"/>
      <c r="H88" s="7">
        <f t="shared" si="28"/>
        <v>0</v>
      </c>
      <c r="I88" s="32"/>
      <c r="J88" s="32"/>
      <c r="K88" s="32"/>
      <c r="L88" s="32"/>
      <c r="M88" s="32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32" t="s">
        <v>81</v>
      </c>
      <c r="F89" s="26"/>
      <c r="G89" s="26"/>
      <c r="H89" s="7">
        <f t="shared" si="28"/>
        <v>0</v>
      </c>
      <c r="I89" s="40"/>
      <c r="J89" s="40"/>
      <c r="K89" s="40"/>
      <c r="L89" s="40"/>
      <c r="M89" s="40"/>
      <c r="N89" s="4"/>
      <c r="O89" s="4"/>
      <c r="P89" s="4"/>
      <c r="Q89" s="4"/>
      <c r="R89" s="4"/>
      <c r="S89" s="4"/>
      <c r="T89" s="4"/>
    </row>
    <row r="90" spans="5:20" ht="12.75">
      <c r="E90" s="33" t="s">
        <v>137</v>
      </c>
      <c r="F90" s="26"/>
      <c r="G90" s="26" t="s">
        <v>83</v>
      </c>
      <c r="H90" s="7">
        <f t="shared" si="28"/>
        <v>0</v>
      </c>
      <c r="I90" s="44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8">
      <c r="A91" s="1"/>
      <c r="B91" s="1"/>
      <c r="C91" s="1"/>
      <c r="D91" s="1"/>
      <c r="E91" s="2"/>
      <c r="H91" s="3">
        <f t="shared" si="28"/>
        <v>0</v>
      </c>
      <c r="I91" s="40" t="s">
        <v>89</v>
      </c>
      <c r="J91" s="40" t="s">
        <v>90</v>
      </c>
      <c r="K91" s="40" t="s">
        <v>91</v>
      </c>
      <c r="L91" s="45" t="s">
        <v>92</v>
      </c>
      <c r="M91" s="40" t="s">
        <v>93</v>
      </c>
      <c r="N91" s="4" t="s">
        <v>94</v>
      </c>
      <c r="O91" s="4" t="s">
        <v>95</v>
      </c>
      <c r="P91" s="5" t="s">
        <v>96</v>
      </c>
      <c r="Q91" s="4" t="s">
        <v>97</v>
      </c>
      <c r="R91" s="4" t="s">
        <v>98</v>
      </c>
      <c r="S91" s="4" t="s">
        <v>99</v>
      </c>
      <c r="T91" s="5" t="s">
        <v>100</v>
      </c>
    </row>
    <row r="92" spans="5:20" ht="12.75">
      <c r="E92" s="18" t="s">
        <v>150</v>
      </c>
      <c r="H92" s="21">
        <f t="shared" si="28"/>
        <v>1455.89</v>
      </c>
      <c r="I92" s="44">
        <f>SUM(I93:I98)</f>
        <v>263.61</v>
      </c>
      <c r="J92" s="44">
        <f>SUM(J93:J98)</f>
        <v>325.6500000000001</v>
      </c>
      <c r="K92" s="44">
        <f>SUM(K93:K98)</f>
        <v>318.73999999999995</v>
      </c>
      <c r="L92" s="44">
        <f>SUM(L93:L98)</f>
        <v>336.61</v>
      </c>
      <c r="M92" s="44">
        <f aca="true" t="shared" si="29" ref="M92:T92">SUM(M93:M98)</f>
        <v>105.61999999999999</v>
      </c>
      <c r="N92">
        <f t="shared" si="29"/>
        <v>105.66</v>
      </c>
      <c r="O92">
        <f t="shared" si="29"/>
        <v>0</v>
      </c>
      <c r="P92">
        <f t="shared" si="29"/>
        <v>0</v>
      </c>
      <c r="Q92">
        <f t="shared" si="29"/>
        <v>0</v>
      </c>
      <c r="R92">
        <f t="shared" si="29"/>
        <v>0</v>
      </c>
      <c r="S92">
        <f t="shared" si="29"/>
        <v>0</v>
      </c>
      <c r="T92">
        <f t="shared" si="29"/>
        <v>0</v>
      </c>
    </row>
    <row r="93" spans="1:13" s="25" customFormat="1" ht="12.75">
      <c r="A93" s="22"/>
      <c r="B93" s="22"/>
      <c r="C93" s="22"/>
      <c r="D93" s="22"/>
      <c r="E93" s="22" t="s">
        <v>148</v>
      </c>
      <c r="F93" s="18"/>
      <c r="G93" s="18"/>
      <c r="H93" s="23">
        <f t="shared" si="28"/>
        <v>0</v>
      </c>
      <c r="I93" s="49"/>
      <c r="J93" s="49"/>
      <c r="K93" s="49"/>
      <c r="L93" s="49"/>
      <c r="M93" s="49"/>
    </row>
    <row r="94" spans="1:13" s="25" customFormat="1" ht="12.75">
      <c r="A94" s="22"/>
      <c r="B94" s="22"/>
      <c r="C94" s="22"/>
      <c r="D94" s="22"/>
      <c r="E94" s="22" t="s">
        <v>86</v>
      </c>
      <c r="F94" s="18"/>
      <c r="G94" s="18"/>
      <c r="H94" s="23">
        <f t="shared" si="28"/>
        <v>0</v>
      </c>
      <c r="I94" s="49"/>
      <c r="J94" s="49"/>
      <c r="K94" s="49"/>
      <c r="L94" s="49"/>
      <c r="M94" s="49"/>
    </row>
    <row r="95" spans="1:15" s="25" customFormat="1" ht="12.75">
      <c r="A95" s="22"/>
      <c r="B95" s="22"/>
      <c r="C95" s="22"/>
      <c r="D95" s="22"/>
      <c r="E95" s="26" t="s">
        <v>107</v>
      </c>
      <c r="F95" s="18"/>
      <c r="G95" s="18"/>
      <c r="H95" s="23">
        <f t="shared" si="28"/>
        <v>598.42</v>
      </c>
      <c r="I95" s="49">
        <v>98.67</v>
      </c>
      <c r="J95" s="49">
        <v>99.09</v>
      </c>
      <c r="K95" s="49">
        <v>99.52</v>
      </c>
      <c r="L95" s="49">
        <v>99.95</v>
      </c>
      <c r="M95" s="49">
        <v>100.38</v>
      </c>
      <c r="N95" s="25">
        <v>100.81</v>
      </c>
      <c r="O95" s="25">
        <v>0</v>
      </c>
    </row>
    <row r="96" spans="1:15" s="25" customFormat="1" ht="12.75">
      <c r="A96" s="22"/>
      <c r="B96" s="22"/>
      <c r="C96" s="22"/>
      <c r="D96" s="22"/>
      <c r="E96" s="26" t="s">
        <v>87</v>
      </c>
      <c r="F96" s="18"/>
      <c r="G96" s="18"/>
      <c r="H96" s="23">
        <f t="shared" si="28"/>
        <v>748.48</v>
      </c>
      <c r="I96" s="49">
        <f>36.07+122.07</f>
        <v>158.14</v>
      </c>
      <c r="J96" s="49">
        <f>33.36+143.25</f>
        <v>176.61</v>
      </c>
      <c r="K96" s="49">
        <f>102.05+80.65</f>
        <v>182.7</v>
      </c>
      <c r="L96" s="49">
        <f>70.13+160.9</f>
        <v>231.03</v>
      </c>
      <c r="M96" s="49"/>
      <c r="O96" s="25">
        <v>0</v>
      </c>
    </row>
    <row r="97" spans="1:13" s="25" customFormat="1" ht="12.75">
      <c r="A97" s="22"/>
      <c r="B97" s="22"/>
      <c r="C97" s="22"/>
      <c r="D97" s="22"/>
      <c r="E97" s="26" t="s">
        <v>88</v>
      </c>
      <c r="F97" s="18"/>
      <c r="G97" s="18"/>
      <c r="H97" s="23">
        <f t="shared" si="28"/>
        <v>74.03999999999999</v>
      </c>
      <c r="I97" s="49"/>
      <c r="J97" s="49">
        <v>43.54</v>
      </c>
      <c r="K97" s="49">
        <f>6.5+7.33+16.67</f>
        <v>30.5</v>
      </c>
      <c r="L97" s="49"/>
      <c r="M97" s="49"/>
    </row>
    <row r="98" spans="1:15" s="25" customFormat="1" ht="11.25">
      <c r="A98" s="22"/>
      <c r="B98" s="22"/>
      <c r="C98" s="22"/>
      <c r="D98" s="22"/>
      <c r="E98" s="26" t="s">
        <v>140</v>
      </c>
      <c r="F98" s="22"/>
      <c r="G98" s="22"/>
      <c r="H98" s="23"/>
      <c r="I98" s="49">
        <v>6.8</v>
      </c>
      <c r="J98" s="49">
        <v>6.41</v>
      </c>
      <c r="K98" s="49">
        <v>6.02</v>
      </c>
      <c r="L98" s="49">
        <v>5.63</v>
      </c>
      <c r="M98" s="49">
        <v>5.24</v>
      </c>
      <c r="N98" s="25">
        <v>4.85</v>
      </c>
      <c r="O98" s="25">
        <v>0</v>
      </c>
    </row>
    <row r="99" spans="5:13" ht="12.75">
      <c r="E99" s="26" t="s">
        <v>145</v>
      </c>
      <c r="I99" s="44"/>
      <c r="M99" s="49"/>
    </row>
    <row r="100" ht="12.75">
      <c r="I100" s="44"/>
    </row>
    <row r="101" spans="5:9" ht="12.75">
      <c r="E101" s="26" t="s">
        <v>146</v>
      </c>
      <c r="I101" s="44"/>
    </row>
    <row r="102" spans="5:16" ht="12.75">
      <c r="E102" s="26" t="s">
        <v>147</v>
      </c>
      <c r="I102" s="44"/>
      <c r="M102" s="44">
        <v>100</v>
      </c>
      <c r="N102">
        <v>100</v>
      </c>
      <c r="O102">
        <v>100</v>
      </c>
      <c r="P102">
        <v>100</v>
      </c>
    </row>
    <row r="103" ht="12.75">
      <c r="I103" s="44"/>
    </row>
    <row r="104" spans="5:9" ht="18.75">
      <c r="E104" s="92" t="s">
        <v>270</v>
      </c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  <row r="168" ht="12.75">
      <c r="I168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3"/>
  <headerFooter alignWithMargins="0">
    <oddHeader>&amp;C&amp;F  &amp;D&amp;RPärispea Joogivesi &amp;A</oddHeader>
    <oddFooter>&amp;C&amp;F  &amp;D&amp;RPärispea Joogivesi tegevusala kood &amp;A</oddFooter>
  </headerFooter>
  <rowBreaks count="1" manualBreakCount="1">
    <brk id="60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pane xSplit="8" ySplit="2" topLeftCell="Q30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T6" sqref="T6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17" width="10.7109375" style="0" bestFit="1" customWidth="1"/>
    <col min="18" max="18" width="11.7109375" style="0" bestFit="1" customWidth="1"/>
    <col min="19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26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265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247</v>
      </c>
      <c r="P2" s="5" t="s">
        <v>96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178484.69</v>
      </c>
      <c r="G3" s="4">
        <f>G4+G8+G12</f>
        <v>171317.27</v>
      </c>
      <c r="H3" s="7">
        <f>SUM(I3:T3)</f>
        <v>163165.00999999998</v>
      </c>
      <c r="I3" s="40">
        <f>I4+I8+I12</f>
        <v>13025.3</v>
      </c>
      <c r="J3" s="40">
        <f>J4+J8+J12</f>
        <v>12213.6</v>
      </c>
      <c r="K3" s="40">
        <f>K4+K8+K12</f>
        <v>14261.85</v>
      </c>
      <c r="L3" s="40">
        <f>L4+L8+L12</f>
        <v>13539.3</v>
      </c>
      <c r="M3" s="40">
        <f aca="true" t="shared" si="0" ref="M3:T3">M4+M8+M12</f>
        <v>15124.45</v>
      </c>
      <c r="N3" s="4">
        <f t="shared" si="0"/>
        <v>14166.550000000001</v>
      </c>
      <c r="O3" s="4">
        <f t="shared" si="0"/>
        <v>16169.4</v>
      </c>
      <c r="P3" s="4">
        <f t="shared" si="0"/>
        <v>13734.4</v>
      </c>
      <c r="Q3" s="4">
        <f t="shared" si="0"/>
        <v>14009.599999999999</v>
      </c>
      <c r="R3" s="4">
        <f t="shared" si="0"/>
        <v>12226.250000000002</v>
      </c>
      <c r="S3" s="4">
        <f t="shared" si="0"/>
        <v>11955.9</v>
      </c>
      <c r="T3" s="4">
        <f t="shared" si="0"/>
        <v>12738.41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178484.69</v>
      </c>
      <c r="G4" s="4">
        <f>G5</f>
        <v>171317.27</v>
      </c>
      <c r="H4" s="7">
        <f aca="true" t="shared" si="1" ref="H4:H60">SUM(I4:T4)</f>
        <v>163165.00999999998</v>
      </c>
      <c r="I4" s="40">
        <f>I5</f>
        <v>13025.3</v>
      </c>
      <c r="J4" s="40">
        <f>J5</f>
        <v>12213.6</v>
      </c>
      <c r="K4" s="40">
        <f>K5</f>
        <v>14261.85</v>
      </c>
      <c r="L4" s="40">
        <f>L5</f>
        <v>13539.3</v>
      </c>
      <c r="M4" s="40">
        <f aca="true" t="shared" si="2" ref="M4:T4">M5</f>
        <v>15124.45</v>
      </c>
      <c r="N4" s="4">
        <f t="shared" si="2"/>
        <v>14166.550000000001</v>
      </c>
      <c r="O4" s="4">
        <f t="shared" si="2"/>
        <v>16169.4</v>
      </c>
      <c r="P4" s="4">
        <f t="shared" si="2"/>
        <v>13734.4</v>
      </c>
      <c r="Q4" s="4">
        <f t="shared" si="2"/>
        <v>14009.599999999999</v>
      </c>
      <c r="R4" s="4">
        <f t="shared" si="2"/>
        <v>12226.250000000002</v>
      </c>
      <c r="S4" s="4">
        <f t="shared" si="2"/>
        <v>11955.9</v>
      </c>
      <c r="T4" s="4">
        <f t="shared" si="2"/>
        <v>12738.41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178484.69</v>
      </c>
      <c r="G5" s="4">
        <f>G7</f>
        <v>171317.27</v>
      </c>
      <c r="H5" s="7">
        <f t="shared" si="1"/>
        <v>163165.00999999998</v>
      </c>
      <c r="I5" s="40">
        <f>I7</f>
        <v>13025.3</v>
      </c>
      <c r="J5" s="40">
        <f>J7</f>
        <v>12213.6</v>
      </c>
      <c r="K5" s="40">
        <f>K7</f>
        <v>14261.85</v>
      </c>
      <c r="L5" s="40">
        <f>L7</f>
        <v>13539.3</v>
      </c>
      <c r="M5" s="40">
        <f aca="true" t="shared" si="3" ref="M5:T5">M7</f>
        <v>15124.45</v>
      </c>
      <c r="N5" s="4">
        <f t="shared" si="3"/>
        <v>14166.550000000001</v>
      </c>
      <c r="O5" s="4">
        <f t="shared" si="3"/>
        <v>16169.4</v>
      </c>
      <c r="P5" s="4">
        <f t="shared" si="3"/>
        <v>13734.4</v>
      </c>
      <c r="Q5" s="4">
        <f t="shared" si="3"/>
        <v>14009.599999999999</v>
      </c>
      <c r="R5" s="4">
        <f t="shared" si="3"/>
        <v>12226.250000000002</v>
      </c>
      <c r="S5" s="4">
        <f t="shared" si="3"/>
        <v>11955.9</v>
      </c>
      <c r="T5" s="4">
        <f t="shared" si="3"/>
        <v>12738.41</v>
      </c>
    </row>
    <row r="6" spans="1:20" s="11" customFormat="1" ht="11.25">
      <c r="A6" s="8"/>
      <c r="B6" s="8"/>
      <c r="C6" s="8"/>
      <c r="D6" s="8"/>
      <c r="E6" s="8" t="s">
        <v>135</v>
      </c>
      <c r="F6" s="9">
        <v>19408</v>
      </c>
      <c r="G6" s="9">
        <v>17674.2</v>
      </c>
      <c r="H6" s="10">
        <f t="shared" si="1"/>
        <v>16118.2</v>
      </c>
      <c r="I6" s="41">
        <f aca="true" t="shared" si="4" ref="I6:T6">I77</f>
        <v>1301</v>
      </c>
      <c r="J6" s="41">
        <f t="shared" si="4"/>
        <v>1214</v>
      </c>
      <c r="K6" s="41">
        <f t="shared" si="4"/>
        <v>1357</v>
      </c>
      <c r="L6" s="41">
        <f t="shared" si="4"/>
        <v>1327</v>
      </c>
      <c r="M6" s="41">
        <f t="shared" si="4"/>
        <v>1521</v>
      </c>
      <c r="N6" s="41">
        <f t="shared" si="4"/>
        <v>1392.2</v>
      </c>
      <c r="O6" s="41">
        <f t="shared" si="4"/>
        <v>1633</v>
      </c>
      <c r="P6" s="41">
        <f t="shared" si="4"/>
        <v>1372</v>
      </c>
      <c r="Q6" s="41">
        <f t="shared" si="4"/>
        <v>1359</v>
      </c>
      <c r="R6" s="41">
        <f t="shared" si="4"/>
        <v>1214</v>
      </c>
      <c r="S6" s="41">
        <f t="shared" si="4"/>
        <v>1185</v>
      </c>
      <c r="T6" s="41">
        <f t="shared" si="4"/>
        <v>1243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178484.69</v>
      </c>
      <c r="G7" s="13">
        <v>171317.27</v>
      </c>
      <c r="H7" s="10">
        <f t="shared" si="1"/>
        <v>163165.00999999998</v>
      </c>
      <c r="I7" s="38">
        <v>13025.3</v>
      </c>
      <c r="J7" s="38">
        <v>12213.6</v>
      </c>
      <c r="K7" s="38">
        <v>14261.85</v>
      </c>
      <c r="L7" s="38">
        <v>13539.3</v>
      </c>
      <c r="M7" s="38">
        <v>15124.45</v>
      </c>
      <c r="N7" s="13">
        <f>N78+N80+N82</f>
        <v>14166.550000000001</v>
      </c>
      <c r="O7" s="13">
        <f>O78+O80+O82</f>
        <v>16169.4</v>
      </c>
      <c r="P7" s="13">
        <f>P78+P80+P82</f>
        <v>13734.4</v>
      </c>
      <c r="Q7" s="13">
        <f>Q78+Q80+Q82</f>
        <v>14009.599999999999</v>
      </c>
      <c r="R7" s="13">
        <f>R78+R80+R82</f>
        <v>12226.250000000002</v>
      </c>
      <c r="S7" s="13">
        <v>11955.9</v>
      </c>
      <c r="T7" s="13">
        <v>12738.41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5" ref="M8:T8">M9+M11</f>
        <v>0</v>
      </c>
      <c r="N8" s="4">
        <f t="shared" si="5"/>
        <v>0</v>
      </c>
      <c r="O8" s="4">
        <f t="shared" si="5"/>
        <v>0</v>
      </c>
      <c r="P8" s="4">
        <f t="shared" si="5"/>
        <v>0</v>
      </c>
      <c r="Q8" s="4">
        <f t="shared" si="5"/>
        <v>0</v>
      </c>
      <c r="R8" s="4">
        <f t="shared" si="5"/>
        <v>0</v>
      </c>
      <c r="S8" s="4">
        <f t="shared" si="5"/>
        <v>0</v>
      </c>
      <c r="T8" s="4">
        <f t="shared" si="5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/>
      <c r="G10" s="13"/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/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0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0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8" ref="I15:T16">I16</f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-122449.60999999999</v>
      </c>
      <c r="G18" s="4">
        <f>G19+G27</f>
        <v>-123024.25</v>
      </c>
      <c r="H18" s="7">
        <f t="shared" si="1"/>
        <v>-130051.9864</v>
      </c>
      <c r="I18" s="40">
        <f>I19+I27</f>
        <v>-13455.83</v>
      </c>
      <c r="J18" s="40">
        <f>J19+J27</f>
        <v>-15169.64</v>
      </c>
      <c r="K18" s="40">
        <f>K19+K27</f>
        <v>-35108.59</v>
      </c>
      <c r="L18" s="40">
        <f>L19+L27</f>
        <v>-10386.369999999999</v>
      </c>
      <c r="M18" s="40">
        <f aca="true" t="shared" si="9" ref="M18:T18">M19+M27</f>
        <v>-10234.35</v>
      </c>
      <c r="N18" s="4">
        <f t="shared" si="9"/>
        <v>-6420.3664</v>
      </c>
      <c r="O18" s="4">
        <f t="shared" si="9"/>
        <v>-22067.67</v>
      </c>
      <c r="P18" s="4">
        <f t="shared" si="9"/>
        <v>-4413.87</v>
      </c>
      <c r="Q18" s="4">
        <f t="shared" si="9"/>
        <v>-5137.34</v>
      </c>
      <c r="R18" s="4">
        <f t="shared" si="9"/>
        <v>-956.21</v>
      </c>
      <c r="S18" s="4">
        <f t="shared" si="9"/>
        <v>-3248.16</v>
      </c>
      <c r="T18" s="4">
        <f t="shared" si="9"/>
        <v>-3453.59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-65503.909999999996</v>
      </c>
      <c r="G19" s="4">
        <f>G20+G26+G23</f>
        <v>-70371.3</v>
      </c>
      <c r="H19" s="7">
        <f t="shared" si="1"/>
        <v>-51148.246399999996</v>
      </c>
      <c r="I19" s="40">
        <f>I20+I26+I23</f>
        <v>-6143.8</v>
      </c>
      <c r="J19" s="40">
        <f>J20+J26+J23</f>
        <v>-6142.8</v>
      </c>
      <c r="K19" s="40">
        <f>K20+K26+K23</f>
        <v>-6287.2</v>
      </c>
      <c r="L19" s="40">
        <f>L20+L26+L23</f>
        <v>-6105.25</v>
      </c>
      <c r="M19" s="40">
        <f aca="true" t="shared" si="10" ref="M19:T19">M20+M26+M23</f>
        <v>-7963.3</v>
      </c>
      <c r="N19" s="4">
        <f t="shared" si="10"/>
        <v>-3796.3464</v>
      </c>
      <c r="O19" s="4">
        <f t="shared" si="10"/>
        <v>-8028</v>
      </c>
      <c r="P19" s="4">
        <f t="shared" si="10"/>
        <v>-2469.85</v>
      </c>
      <c r="Q19" s="4">
        <f t="shared" si="10"/>
        <v>-2521.95</v>
      </c>
      <c r="R19" s="4">
        <f t="shared" si="10"/>
        <v>-907.9</v>
      </c>
      <c r="S19" s="4">
        <f t="shared" si="10"/>
        <v>-1007.45</v>
      </c>
      <c r="T19" s="4">
        <f t="shared" si="10"/>
        <v>225.6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-49140.99</v>
      </c>
      <c r="G20" s="4">
        <f>SUM(G21:G22)</f>
        <v>-52547.3</v>
      </c>
      <c r="H20" s="7">
        <f t="shared" si="1"/>
        <v>-38097.24999999999</v>
      </c>
      <c r="I20" s="40">
        <f>SUM(I21:I22)</f>
        <v>-4570.8</v>
      </c>
      <c r="J20" s="40">
        <f>SUM(J21:J22)</f>
        <v>-4570.8</v>
      </c>
      <c r="K20" s="40">
        <f>SUM(K21:K22)</f>
        <v>-4678.2</v>
      </c>
      <c r="L20" s="40">
        <f>SUM(L21:L22)</f>
        <v>-4544.25</v>
      </c>
      <c r="M20" s="40">
        <f aca="true" t="shared" si="11" ref="M20:T20">SUM(M21:M22)</f>
        <v>-5946.3</v>
      </c>
      <c r="N20" s="4">
        <f t="shared" si="11"/>
        <v>-2824.35</v>
      </c>
      <c r="O20" s="4">
        <f t="shared" si="11"/>
        <v>-5992</v>
      </c>
      <c r="P20" s="4">
        <f t="shared" si="11"/>
        <v>-1836.85</v>
      </c>
      <c r="Q20" s="4">
        <f t="shared" si="11"/>
        <v>-1876.95</v>
      </c>
      <c r="R20" s="4">
        <f t="shared" si="11"/>
        <v>-676.9</v>
      </c>
      <c r="S20" s="4">
        <f t="shared" si="11"/>
        <v>-749.45</v>
      </c>
      <c r="T20" s="4">
        <f t="shared" si="11"/>
        <v>169.6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-49140.99</v>
      </c>
      <c r="G21" s="13">
        <v>-52547.3</v>
      </c>
      <c r="H21" s="10">
        <f t="shared" si="1"/>
        <v>-38097.24999999999</v>
      </c>
      <c r="I21" s="38">
        <v>-4570.8</v>
      </c>
      <c r="J21" s="38">
        <v>-4570.8</v>
      </c>
      <c r="K21" s="38">
        <v>-4678.2</v>
      </c>
      <c r="L21" s="38">
        <v>-4544.25</v>
      </c>
      <c r="M21" s="38">
        <v>-5946.3</v>
      </c>
      <c r="N21" s="13">
        <f>N62*-1</f>
        <v>-2824.35</v>
      </c>
      <c r="O21" s="13">
        <v>-5992</v>
      </c>
      <c r="P21" s="13">
        <f>P62*-1</f>
        <v>-1836.85</v>
      </c>
      <c r="Q21" s="13">
        <f>Q62*-1</f>
        <v>-1876.95</v>
      </c>
      <c r="R21" s="13">
        <f>R62*-1</f>
        <v>-676.9</v>
      </c>
      <c r="S21" s="13">
        <v>-749.45</v>
      </c>
      <c r="T21" s="13">
        <v>169.6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-16362.92</v>
      </c>
      <c r="G26" s="4">
        <v>-17824</v>
      </c>
      <c r="H26" s="7">
        <f t="shared" si="1"/>
        <v>-13050.9964</v>
      </c>
      <c r="I26" s="40">
        <v>-1573</v>
      </c>
      <c r="J26" s="40">
        <v>-1572</v>
      </c>
      <c r="K26" s="40">
        <v>-1609</v>
      </c>
      <c r="L26" s="40">
        <v>-1561</v>
      </c>
      <c r="M26" s="40">
        <v>-2017</v>
      </c>
      <c r="N26" s="4">
        <f>(N72+N73)*-1-0.42</f>
        <v>-971.9964</v>
      </c>
      <c r="O26" s="4">
        <v>-2036</v>
      </c>
      <c r="P26" s="4">
        <v>-633</v>
      </c>
      <c r="Q26" s="4">
        <v>-645</v>
      </c>
      <c r="R26" s="4">
        <f>(R72+R73)*-1</f>
        <v>-231</v>
      </c>
      <c r="S26" s="4">
        <v>-258</v>
      </c>
      <c r="T26" s="4">
        <v>56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-56945.7</v>
      </c>
      <c r="G27" s="4">
        <f>SUM(G28:G41)</f>
        <v>-52652.950000000004</v>
      </c>
      <c r="H27" s="7">
        <f t="shared" si="1"/>
        <v>-78903.74</v>
      </c>
      <c r="I27" s="40">
        <f>SUM(I28:I41)</f>
        <v>-7312.03</v>
      </c>
      <c r="J27" s="40">
        <f aca="true" t="shared" si="13" ref="J27:T27">SUM(J28:J41)</f>
        <v>-9026.84</v>
      </c>
      <c r="K27" s="40">
        <f t="shared" si="13"/>
        <v>-28821.39</v>
      </c>
      <c r="L27" s="40">
        <f t="shared" si="13"/>
        <v>-4281.12</v>
      </c>
      <c r="M27" s="40">
        <f t="shared" si="13"/>
        <v>-2271.0499999999997</v>
      </c>
      <c r="N27" s="4">
        <f t="shared" si="13"/>
        <v>-2624.02</v>
      </c>
      <c r="O27" s="4">
        <f t="shared" si="13"/>
        <v>-14039.67</v>
      </c>
      <c r="P27" s="4">
        <f t="shared" si="13"/>
        <v>-1944.02</v>
      </c>
      <c r="Q27" s="4">
        <f t="shared" si="13"/>
        <v>-2615.39</v>
      </c>
      <c r="R27" s="4">
        <f t="shared" si="13"/>
        <v>-48.31</v>
      </c>
      <c r="S27" s="4">
        <f t="shared" si="13"/>
        <v>-2240.71</v>
      </c>
      <c r="T27" s="4">
        <f t="shared" si="13"/>
        <v>-3679.19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-1191.92</v>
      </c>
      <c r="G28" s="13">
        <v>-2249.72</v>
      </c>
      <c r="H28" s="10">
        <f t="shared" si="1"/>
        <v>-381.46999999999997</v>
      </c>
      <c r="I28" s="38">
        <v>-108.19</v>
      </c>
      <c r="J28" s="38">
        <v>-80.87</v>
      </c>
      <c r="K28" s="38">
        <v>-70.82</v>
      </c>
      <c r="L28" s="38">
        <v>-96.39</v>
      </c>
      <c r="M28" s="38">
        <v>-25.2</v>
      </c>
      <c r="N28" s="13"/>
      <c r="O28" s="13">
        <v>0</v>
      </c>
      <c r="P28" s="13"/>
      <c r="Q28" s="13"/>
      <c r="R28" s="13"/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-4029.33</v>
      </c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-35316.52</v>
      </c>
      <c r="G31" s="13">
        <v>-35235.27</v>
      </c>
      <c r="H31" s="10">
        <f t="shared" si="1"/>
        <v>-72294.54</v>
      </c>
      <c r="I31" s="38">
        <v>-6680.68</v>
      </c>
      <c r="J31" s="38">
        <v>-4760.51</v>
      </c>
      <c r="K31" s="38">
        <v>-28110.98</v>
      </c>
      <c r="L31" s="38">
        <v>-3491.63</v>
      </c>
      <c r="M31" s="38">
        <v>-2216.1</v>
      </c>
      <c r="N31" s="13">
        <v>-2624.02</v>
      </c>
      <c r="O31" s="13">
        <v>-14039.67</v>
      </c>
      <c r="P31" s="13">
        <v>-1944.02</v>
      </c>
      <c r="Q31" s="13">
        <v>-2615.39</v>
      </c>
      <c r="R31" s="13">
        <v>-48.31</v>
      </c>
      <c r="S31" s="13">
        <v>-2240.71</v>
      </c>
      <c r="T31" s="13">
        <v>-3522.52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-16298.1</v>
      </c>
      <c r="G32" s="13">
        <v>-14270.14</v>
      </c>
      <c r="H32" s="10">
        <f t="shared" si="1"/>
        <v>-2546.06</v>
      </c>
      <c r="I32" s="38">
        <v>-523.16</v>
      </c>
      <c r="J32" s="38">
        <v>-660.46</v>
      </c>
      <c r="K32" s="38">
        <v>-639.59</v>
      </c>
      <c r="L32" s="38">
        <v>-693.1</v>
      </c>
      <c r="M32" s="38">
        <v>-29.75</v>
      </c>
      <c r="N32" s="13"/>
      <c r="O32" s="13"/>
      <c r="P32" s="13"/>
      <c r="Q32" s="13"/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>
        <v>-90</v>
      </c>
      <c r="G33" s="13">
        <v>0</v>
      </c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-19.83</v>
      </c>
      <c r="G34" s="13">
        <v>-192.41</v>
      </c>
      <c r="H34" s="10">
        <f t="shared" si="1"/>
        <v>-3681.67</v>
      </c>
      <c r="I34" s="38"/>
      <c r="J34" s="38">
        <v>-3525</v>
      </c>
      <c r="K34" s="38"/>
      <c r="L34" s="38"/>
      <c r="M34" s="38"/>
      <c r="N34" s="13"/>
      <c r="O34" s="13"/>
      <c r="P34" s="13"/>
      <c r="Q34" s="13"/>
      <c r="R34" s="13"/>
      <c r="S34" s="13"/>
      <c r="T34" s="13">
        <v>-156.67</v>
      </c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>
        <v>-705.41</v>
      </c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/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/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/>
      <c r="G38" s="13"/>
      <c r="H38" s="10">
        <f t="shared" si="1"/>
        <v>0</v>
      </c>
      <c r="I38" s="38"/>
      <c r="J38" s="38"/>
      <c r="K38" s="38"/>
      <c r="L38" s="38"/>
      <c r="M38" s="38"/>
      <c r="N38" s="13"/>
      <c r="O38" s="13"/>
      <c r="P38" s="13"/>
      <c r="Q38" s="13"/>
      <c r="R38" s="13"/>
      <c r="S38" s="13"/>
      <c r="T38" s="13"/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/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/>
      <c r="G40" s="13"/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-25927</v>
      </c>
      <c r="G42" s="4">
        <f>G43+G48+G55+G58</f>
        <v>-38621.53</v>
      </c>
      <c r="H42" s="4">
        <f t="shared" si="1"/>
        <v>-47189.450000000004</v>
      </c>
      <c r="I42" s="40">
        <f aca="true" t="shared" si="14" ref="I42:T42">I43+I48+I55+I58</f>
        <v>-641.39</v>
      </c>
      <c r="J42" s="40">
        <f t="shared" si="14"/>
        <v>-885.23</v>
      </c>
      <c r="K42" s="40">
        <f t="shared" si="14"/>
        <v>-17199.07</v>
      </c>
      <c r="L42" s="40">
        <f t="shared" si="14"/>
        <v>-637.9</v>
      </c>
      <c r="M42" s="40">
        <f t="shared" si="14"/>
        <v>-1924.73</v>
      </c>
      <c r="N42" s="4">
        <f t="shared" si="14"/>
        <v>-7709.02</v>
      </c>
      <c r="O42" s="4">
        <f t="shared" si="14"/>
        <v>-620</v>
      </c>
      <c r="P42" s="4">
        <f t="shared" si="14"/>
        <v>-712.8</v>
      </c>
      <c r="Q42" s="4">
        <f t="shared" si="14"/>
        <v>-9703.05</v>
      </c>
      <c r="R42" s="4">
        <f>R43+R48+R55+R58</f>
        <v>-865</v>
      </c>
      <c r="S42" s="4">
        <f t="shared" si="14"/>
        <v>-711</v>
      </c>
      <c r="T42" s="4">
        <f t="shared" si="14"/>
        <v>-5580.26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-20264</v>
      </c>
      <c r="G43" s="4">
        <f>G44+G46+G47</f>
        <v>-31721.83</v>
      </c>
      <c r="H43" s="7">
        <f t="shared" si="1"/>
        <v>-39630.58</v>
      </c>
      <c r="I43" s="40">
        <f aca="true" t="shared" si="15" ref="I43:T43">I44+I46+I47</f>
        <v>0</v>
      </c>
      <c r="J43" s="40">
        <f t="shared" si="15"/>
        <v>-244</v>
      </c>
      <c r="K43" s="40">
        <f t="shared" si="15"/>
        <v>-16560</v>
      </c>
      <c r="L43" s="40">
        <f t="shared" si="15"/>
        <v>0</v>
      </c>
      <c r="M43" s="40">
        <f t="shared" si="15"/>
        <v>-1288</v>
      </c>
      <c r="N43" s="4">
        <f t="shared" si="15"/>
        <v>-7072.47</v>
      </c>
      <c r="O43" s="4">
        <f t="shared" si="15"/>
        <v>0</v>
      </c>
      <c r="P43" s="4">
        <f t="shared" si="15"/>
        <v>-91.8</v>
      </c>
      <c r="Q43" s="4">
        <f t="shared" si="15"/>
        <v>-9082.05</v>
      </c>
      <c r="R43" s="4">
        <f t="shared" si="15"/>
        <v>-243</v>
      </c>
      <c r="S43" s="4">
        <f t="shared" si="15"/>
        <v>-90</v>
      </c>
      <c r="T43" s="4">
        <f t="shared" si="15"/>
        <v>-4959.26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-20264</v>
      </c>
      <c r="G44" s="4">
        <f>G45</f>
        <v>-27893</v>
      </c>
      <c r="H44" s="7">
        <f t="shared" si="1"/>
        <v>-40274.09</v>
      </c>
      <c r="I44" s="40">
        <f>I45</f>
        <v>0</v>
      </c>
      <c r="J44" s="40">
        <f>J45</f>
        <v>-244</v>
      </c>
      <c r="K44" s="40">
        <f>K45</f>
        <v>-16560</v>
      </c>
      <c r="L44" s="40">
        <f>L45</f>
        <v>0</v>
      </c>
      <c r="M44" s="40">
        <f aca="true" t="shared" si="16" ref="M44:T44">M45</f>
        <v>-1288</v>
      </c>
      <c r="N44" s="4">
        <f t="shared" si="16"/>
        <v>-7072.47</v>
      </c>
      <c r="O44" s="4">
        <f t="shared" si="16"/>
        <v>0</v>
      </c>
      <c r="P44" s="4">
        <f t="shared" si="16"/>
        <v>-91.8</v>
      </c>
      <c r="Q44" s="4">
        <f t="shared" si="16"/>
        <v>-9082.05</v>
      </c>
      <c r="R44" s="4">
        <f t="shared" si="16"/>
        <v>-243</v>
      </c>
      <c r="S44" s="4">
        <f t="shared" si="16"/>
        <v>-90</v>
      </c>
      <c r="T44" s="4">
        <f t="shared" si="16"/>
        <v>-5602.77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-20264</v>
      </c>
      <c r="G45" s="13">
        <v>-27893</v>
      </c>
      <c r="H45" s="10">
        <f t="shared" si="1"/>
        <v>-40274.09</v>
      </c>
      <c r="I45" s="38"/>
      <c r="J45" s="38">
        <v>-244</v>
      </c>
      <c r="K45" s="38">
        <v>-16560</v>
      </c>
      <c r="L45" s="38"/>
      <c r="M45" s="38">
        <v>-1288</v>
      </c>
      <c r="N45" s="13">
        <v>-7072.47</v>
      </c>
      <c r="O45" s="13"/>
      <c r="P45" s="13">
        <v>-91.8</v>
      </c>
      <c r="Q45" s="13">
        <v>-9082.05</v>
      </c>
      <c r="R45" s="13">
        <v>-243</v>
      </c>
      <c r="S45" s="13">
        <v>-90</v>
      </c>
      <c r="T45" s="13">
        <v>-5602.77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-3828.83</v>
      </c>
      <c r="H46" s="7">
        <f t="shared" si="1"/>
        <v>643.51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>
        <v>643.51</v>
      </c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-5663</v>
      </c>
      <c r="G48" s="4">
        <f>G54+G49</f>
        <v>-6708</v>
      </c>
      <c r="H48" s="7">
        <f t="shared" si="1"/>
        <v>-7454</v>
      </c>
      <c r="I48" s="40">
        <f>I54+I49</f>
        <v>-621</v>
      </c>
      <c r="J48" s="40">
        <f>J54+J49</f>
        <v>-622</v>
      </c>
      <c r="K48" s="40">
        <f>K54+K49</f>
        <v>-621</v>
      </c>
      <c r="L48" s="40">
        <f>L54+L49</f>
        <v>-621</v>
      </c>
      <c r="M48" s="40">
        <f aca="true" t="shared" si="17" ref="M48:T48">M54+M49</f>
        <v>-621</v>
      </c>
      <c r="N48" s="4">
        <f t="shared" si="17"/>
        <v>-622</v>
      </c>
      <c r="O48" s="4">
        <f t="shared" si="17"/>
        <v>-620</v>
      </c>
      <c r="P48" s="4">
        <f t="shared" si="17"/>
        <v>-621</v>
      </c>
      <c r="Q48" s="4">
        <f t="shared" si="17"/>
        <v>-621</v>
      </c>
      <c r="R48" s="4">
        <f t="shared" si="17"/>
        <v>-622</v>
      </c>
      <c r="S48" s="4">
        <f t="shared" si="17"/>
        <v>-621</v>
      </c>
      <c r="T48" s="4">
        <f t="shared" si="17"/>
        <v>-621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-5663</v>
      </c>
      <c r="G49" s="4">
        <f>SUM(G50:G53)</f>
        <v>-6708</v>
      </c>
      <c r="H49" s="7">
        <f t="shared" si="1"/>
        <v>-7454</v>
      </c>
      <c r="I49" s="40">
        <f>SUM(I50:I53)</f>
        <v>-621</v>
      </c>
      <c r="J49" s="40">
        <f>SUM(J50:J53)</f>
        <v>-622</v>
      </c>
      <c r="K49" s="40">
        <f>SUM(K50:K53)</f>
        <v>-621</v>
      </c>
      <c r="L49" s="40">
        <f>SUM(L50:L53)</f>
        <v>-621</v>
      </c>
      <c r="M49" s="40">
        <f aca="true" t="shared" si="18" ref="M49:T49">SUM(M50:M53)</f>
        <v>-621</v>
      </c>
      <c r="N49" s="4">
        <f t="shared" si="18"/>
        <v>-622</v>
      </c>
      <c r="O49" s="4">
        <f t="shared" si="18"/>
        <v>-620</v>
      </c>
      <c r="P49" s="4">
        <f t="shared" si="18"/>
        <v>-621</v>
      </c>
      <c r="Q49" s="4">
        <f t="shared" si="18"/>
        <v>-621</v>
      </c>
      <c r="R49" s="4">
        <f t="shared" si="18"/>
        <v>-622</v>
      </c>
      <c r="S49" s="4">
        <f t="shared" si="18"/>
        <v>-621</v>
      </c>
      <c r="T49" s="4">
        <f t="shared" si="18"/>
        <v>-621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/>
      <c r="G50" s="13"/>
      <c r="H50" s="10">
        <f t="shared" si="1"/>
        <v>0</v>
      </c>
      <c r="I50" s="38"/>
      <c r="J50" s="38"/>
      <c r="K50" s="38"/>
      <c r="L50" s="38"/>
      <c r="M50" s="38"/>
      <c r="N50" s="13"/>
      <c r="O50" s="13"/>
      <c r="P50" s="13"/>
      <c r="Q50" s="13"/>
      <c r="R50" s="13"/>
      <c r="S50" s="13"/>
      <c r="T50" s="13"/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>
        <v>-5663</v>
      </c>
      <c r="G51" s="13">
        <v>-6708</v>
      </c>
      <c r="H51" s="10">
        <f>SUM(I51:T51)</f>
        <v>-7454</v>
      </c>
      <c r="I51" s="38">
        <v>-621</v>
      </c>
      <c r="J51" s="38">
        <v>-622</v>
      </c>
      <c r="K51" s="38">
        <v>-621</v>
      </c>
      <c r="L51" s="38">
        <v>-621</v>
      </c>
      <c r="M51" s="38">
        <v>-621</v>
      </c>
      <c r="N51" s="13">
        <v>-622</v>
      </c>
      <c r="O51" s="13">
        <v>-620</v>
      </c>
      <c r="P51" s="13">
        <v>-621</v>
      </c>
      <c r="Q51" s="13">
        <v>-621</v>
      </c>
      <c r="R51" s="13">
        <v>-622</v>
      </c>
      <c r="S51" s="13">
        <v>-621</v>
      </c>
      <c r="T51" s="13">
        <v>-621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"/>
      <c r="P52" s="1"/>
      <c r="Q52" s="1"/>
      <c r="R52" s="1"/>
      <c r="S52" s="1"/>
      <c r="T52" s="1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-191.7</v>
      </c>
      <c r="H55" s="7">
        <f t="shared" si="1"/>
        <v>-104.87</v>
      </c>
      <c r="I55" s="40">
        <f>I57+I56</f>
        <v>-20.39</v>
      </c>
      <c r="J55" s="40">
        <f>J57+J56</f>
        <v>-19.23</v>
      </c>
      <c r="K55" s="40">
        <f>K57+K56</f>
        <v>-18.07</v>
      </c>
      <c r="L55" s="40">
        <f>L57+L56</f>
        <v>-16.9</v>
      </c>
      <c r="M55" s="40">
        <f aca="true" t="shared" si="19" ref="M55:T55">M57+M56</f>
        <v>-15.73</v>
      </c>
      <c r="N55" s="4">
        <f t="shared" si="19"/>
        <v>-14.55</v>
      </c>
      <c r="O55" s="4">
        <f t="shared" si="19"/>
        <v>0</v>
      </c>
      <c r="P55" s="4">
        <f t="shared" si="19"/>
        <v>0</v>
      </c>
      <c r="Q55" s="4">
        <f t="shared" si="19"/>
        <v>0</v>
      </c>
      <c r="R55" s="4">
        <f t="shared" si="19"/>
        <v>0</v>
      </c>
      <c r="S55" s="4">
        <f t="shared" si="19"/>
        <v>0</v>
      </c>
      <c r="T55" s="4">
        <f t="shared" si="19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>
        <v>-191.7</v>
      </c>
      <c r="H56" s="7">
        <f t="shared" si="1"/>
        <v>-104.87</v>
      </c>
      <c r="I56" s="40">
        <v>-20.39</v>
      </c>
      <c r="J56" s="40">
        <v>-19.23</v>
      </c>
      <c r="K56" s="40">
        <v>-18.07</v>
      </c>
      <c r="L56" s="40">
        <v>-16.9</v>
      </c>
      <c r="M56" s="40">
        <v>-15.73</v>
      </c>
      <c r="N56" s="4">
        <v>-14.55</v>
      </c>
      <c r="O56" s="4"/>
      <c r="P56" s="4"/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30108.080000000016</v>
      </c>
      <c r="G59" s="7">
        <f>G3+G15+G18+G42</f>
        <v>9671.48999999999</v>
      </c>
      <c r="H59" s="7">
        <f t="shared" si="1"/>
        <v>-14076.426400000002</v>
      </c>
      <c r="I59" s="43">
        <f>I3+I15+I18+I42</f>
        <v>-1071.9200000000005</v>
      </c>
      <c r="J59" s="43">
        <f>J3+J15+J18+J42</f>
        <v>-3841.269999999999</v>
      </c>
      <c r="K59" s="43">
        <f>K3+K15+K18+K42</f>
        <v>-38045.81</v>
      </c>
      <c r="L59" s="43">
        <f>L3+L15+L18+L42</f>
        <v>2515.03</v>
      </c>
      <c r="M59" s="43">
        <f aca="true" t="shared" si="20" ref="M59:T59">M3+M15+M18+M42</f>
        <v>2965.3700000000003</v>
      </c>
      <c r="N59" s="7">
        <f t="shared" si="20"/>
        <v>37.16360000000077</v>
      </c>
      <c r="O59" s="7">
        <f t="shared" si="20"/>
        <v>-6518.269999999999</v>
      </c>
      <c r="P59" s="7">
        <f t="shared" si="20"/>
        <v>8607.73</v>
      </c>
      <c r="Q59" s="7">
        <f t="shared" si="20"/>
        <v>-830.7900000000009</v>
      </c>
      <c r="R59" s="7">
        <f t="shared" si="20"/>
        <v>10405.04</v>
      </c>
      <c r="S59" s="7">
        <f t="shared" si="20"/>
        <v>7996.74</v>
      </c>
      <c r="T59" s="7">
        <f t="shared" si="20"/>
        <v>3704.5599999999995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26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94</v>
      </c>
      <c r="O61" s="5" t="s">
        <v>95</v>
      </c>
      <c r="P61" s="5" t="s">
        <v>96</v>
      </c>
      <c r="Q61" s="5" t="s">
        <v>97</v>
      </c>
      <c r="R61" s="5" t="s">
        <v>98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38325.94999999999</v>
      </c>
      <c r="I62" s="44">
        <f>SUM(I63:I71)</f>
        <v>4570.8</v>
      </c>
      <c r="J62" s="44">
        <f>SUM(J63:J71)</f>
        <v>4570.8</v>
      </c>
      <c r="K62" s="44">
        <f>SUM(K63:K71)</f>
        <v>4678.2</v>
      </c>
      <c r="L62" s="44">
        <f>SUM(L63:L71)</f>
        <v>4544.25</v>
      </c>
      <c r="M62" s="44">
        <f aca="true" t="shared" si="21" ref="M62:T62">SUM(M63:M71)</f>
        <v>5946.3</v>
      </c>
      <c r="N62">
        <f t="shared" si="21"/>
        <v>2824.35</v>
      </c>
      <c r="O62">
        <f t="shared" si="21"/>
        <v>6220.7</v>
      </c>
      <c r="P62">
        <f t="shared" si="21"/>
        <v>1836.85</v>
      </c>
      <c r="Q62">
        <f t="shared" si="21"/>
        <v>1876.95</v>
      </c>
      <c r="R62">
        <f t="shared" si="21"/>
        <v>676.9</v>
      </c>
      <c r="S62">
        <f t="shared" si="21"/>
        <v>749.45</v>
      </c>
      <c r="T62">
        <f t="shared" si="21"/>
        <v>-169.60000000000002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30516.05</v>
      </c>
      <c r="I63" s="46">
        <f>2070+1089+660+751.8</f>
        <v>4570.8</v>
      </c>
      <c r="J63" s="46">
        <f>2070+1089+660+751.8</f>
        <v>4570.8</v>
      </c>
      <c r="K63" s="46">
        <f>2070+1089+660+859.2</f>
        <v>4678.2</v>
      </c>
      <c r="L63" s="46">
        <f>2070+1089+660+725.25</f>
        <v>4544.25</v>
      </c>
      <c r="M63" s="46">
        <f>1089+660+725.25</f>
        <v>2474.25</v>
      </c>
      <c r="N63" s="24">
        <v>2164.35</v>
      </c>
      <c r="O63" s="24">
        <v>1696.35</v>
      </c>
      <c r="P63" s="24">
        <v>1836.85</v>
      </c>
      <c r="Q63" s="24">
        <v>1876.95</v>
      </c>
      <c r="R63" s="24">
        <v>676.9</v>
      </c>
      <c r="S63" s="24">
        <v>749.45</v>
      </c>
      <c r="T63" s="24">
        <v>676.9</v>
      </c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2" ref="H64:H69">SUM(I64:T64)</f>
        <v>780</v>
      </c>
      <c r="I64" s="47"/>
      <c r="J64" s="47"/>
      <c r="K64" s="47"/>
      <c r="L64" s="47"/>
      <c r="M64" s="47"/>
      <c r="N64" s="27">
        <v>660</v>
      </c>
      <c r="O64" s="27">
        <v>120</v>
      </c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2"/>
        <v>2768.1</v>
      </c>
      <c r="I65" s="47"/>
      <c r="J65" s="47"/>
      <c r="K65" s="47"/>
      <c r="L65" s="47"/>
      <c r="M65" s="47">
        <v>1188.25</v>
      </c>
      <c r="N65" s="27"/>
      <c r="O65" s="27">
        <v>2426.35</v>
      </c>
      <c r="P65" s="27"/>
      <c r="Q65" s="27"/>
      <c r="R65" s="27"/>
      <c r="S65" s="27"/>
      <c r="T65" s="27">
        <f>410.7-1257.2</f>
        <v>-846.5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2"/>
        <v>4261.8</v>
      </c>
      <c r="I66" s="47"/>
      <c r="J66" s="47"/>
      <c r="K66" s="47"/>
      <c r="L66" s="47"/>
      <c r="M66" s="47">
        <f>2069.65+214.15</f>
        <v>2283.8</v>
      </c>
      <c r="N66" s="27"/>
      <c r="O66" s="27">
        <v>1978</v>
      </c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2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2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2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12647.4425</v>
      </c>
      <c r="I72" s="24">
        <f aca="true" t="shared" si="23" ref="I72:P72">I62*33/100</f>
        <v>1508.364</v>
      </c>
      <c r="J72" s="24">
        <f t="shared" si="23"/>
        <v>1508.364</v>
      </c>
      <c r="K72" s="24">
        <f t="shared" si="23"/>
        <v>1543.806</v>
      </c>
      <c r="L72" s="24">
        <f t="shared" si="23"/>
        <v>1499.6025</v>
      </c>
      <c r="M72" s="24">
        <f t="shared" si="23"/>
        <v>1962.279</v>
      </c>
      <c r="N72" s="24">
        <f t="shared" si="23"/>
        <v>932.0355000000001</v>
      </c>
      <c r="O72" s="24">
        <f t="shared" si="23"/>
        <v>2052.831</v>
      </c>
      <c r="P72" s="24">
        <f t="shared" si="23"/>
        <v>606.1605</v>
      </c>
      <c r="Q72" s="24">
        <v>619</v>
      </c>
      <c r="R72" s="24">
        <v>222</v>
      </c>
      <c r="S72" s="24">
        <v>247</v>
      </c>
      <c r="T72" s="24">
        <v>-54</v>
      </c>
    </row>
    <row r="73" spans="5:20" ht="12.75">
      <c r="E73" s="28" t="s">
        <v>74</v>
      </c>
      <c r="F73" s="28"/>
      <c r="G73" s="28"/>
      <c r="H73" s="21">
        <f>SUM(I73:T73)</f>
        <v>536.6914999999999</v>
      </c>
      <c r="I73" s="24">
        <f aca="true" t="shared" si="24" ref="I73:P73">1.4*I62/100</f>
        <v>63.9912</v>
      </c>
      <c r="J73" s="24">
        <f t="shared" si="24"/>
        <v>63.9912</v>
      </c>
      <c r="K73" s="24">
        <f t="shared" si="24"/>
        <v>65.4948</v>
      </c>
      <c r="L73" s="24">
        <f t="shared" si="24"/>
        <v>63.619499999999995</v>
      </c>
      <c r="M73" s="24">
        <f t="shared" si="24"/>
        <v>83.2482</v>
      </c>
      <c r="N73" s="24">
        <f t="shared" si="24"/>
        <v>39.54089999999999</v>
      </c>
      <c r="O73" s="24">
        <f t="shared" si="24"/>
        <v>87.0898</v>
      </c>
      <c r="P73" s="24">
        <f t="shared" si="24"/>
        <v>25.715899999999998</v>
      </c>
      <c r="Q73" s="24">
        <v>26</v>
      </c>
      <c r="R73" s="24">
        <v>9</v>
      </c>
      <c r="S73" s="24">
        <v>11</v>
      </c>
      <c r="T73" s="24">
        <v>-2</v>
      </c>
    </row>
    <row r="74" spans="6:20" ht="13.5" customHeight="1">
      <c r="F74" s="29"/>
      <c r="G74" s="29"/>
      <c r="H74" s="21">
        <f>SUM(I74:T74)</f>
        <v>51510.083999999995</v>
      </c>
      <c r="I74" s="24">
        <f aca="true" t="shared" si="25" ref="I74:T74">I62+I72+I73</f>
        <v>6143.155200000001</v>
      </c>
      <c r="J74" s="24">
        <f t="shared" si="25"/>
        <v>6143.155200000001</v>
      </c>
      <c r="K74" s="24">
        <f t="shared" si="25"/>
        <v>6287.5008</v>
      </c>
      <c r="L74" s="24">
        <f t="shared" si="25"/>
        <v>6107.472</v>
      </c>
      <c r="M74" s="24">
        <f t="shared" si="25"/>
        <v>7991.8272</v>
      </c>
      <c r="N74" s="24">
        <f t="shared" si="25"/>
        <v>3795.9264</v>
      </c>
      <c r="O74" s="24">
        <f t="shared" si="25"/>
        <v>8360.620799999999</v>
      </c>
      <c r="P74" s="24">
        <f t="shared" si="25"/>
        <v>2468.7264</v>
      </c>
      <c r="Q74" s="24">
        <f t="shared" si="25"/>
        <v>2521.95</v>
      </c>
      <c r="R74" s="24">
        <f t="shared" si="25"/>
        <v>907.9</v>
      </c>
      <c r="S74" s="24">
        <f t="shared" si="25"/>
        <v>1007.45</v>
      </c>
      <c r="T74" s="24">
        <f t="shared" si="25"/>
        <v>-225.60000000000002</v>
      </c>
    </row>
    <row r="75" spans="5:20" ht="12.75">
      <c r="E75" s="30" t="s">
        <v>75</v>
      </c>
      <c r="H75" s="21" t="s">
        <v>76</v>
      </c>
      <c r="I75" s="48">
        <v>9.33</v>
      </c>
      <c r="J75" s="48">
        <v>9.33</v>
      </c>
      <c r="K75" s="48">
        <v>9.33</v>
      </c>
      <c r="L75" s="48">
        <v>9.33</v>
      </c>
      <c r="M75" s="48">
        <v>9.33</v>
      </c>
      <c r="N75" s="48">
        <v>9.33</v>
      </c>
      <c r="O75" s="48">
        <v>9.33</v>
      </c>
      <c r="P75" s="48">
        <v>9.33</v>
      </c>
      <c r="Q75" s="48">
        <f>Q78/Q77</f>
        <v>9.469131714495953</v>
      </c>
      <c r="R75" s="48">
        <v>9.33</v>
      </c>
      <c r="S75" s="48">
        <v>9.33</v>
      </c>
      <c r="T75" s="48">
        <v>9.33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6" ref="H77:H101">SUM(I77:T77)</f>
        <v>16118.2</v>
      </c>
      <c r="I77" s="32">
        <v>1301</v>
      </c>
      <c r="J77" s="32">
        <v>1214</v>
      </c>
      <c r="K77" s="32">
        <v>1357</v>
      </c>
      <c r="L77" s="32">
        <v>1327</v>
      </c>
      <c r="M77" s="32">
        <v>1521</v>
      </c>
      <c r="N77" s="1">
        <v>1392.2</v>
      </c>
      <c r="O77" s="1">
        <v>1633</v>
      </c>
      <c r="P77" s="1">
        <v>1372</v>
      </c>
      <c r="Q77" s="1">
        <v>1359</v>
      </c>
      <c r="R77" s="1">
        <v>1214</v>
      </c>
      <c r="S77" s="1">
        <v>1185</v>
      </c>
      <c r="T77" s="1">
        <v>1243</v>
      </c>
    </row>
    <row r="78" spans="1:20" ht="12.75">
      <c r="A78" s="1"/>
      <c r="B78" s="1"/>
      <c r="C78" s="1"/>
      <c r="D78" s="1"/>
      <c r="E78" s="32" t="s">
        <v>78</v>
      </c>
      <c r="H78" s="7">
        <f t="shared" si="26"/>
        <v>151047.80999999997</v>
      </c>
      <c r="I78" s="40">
        <v>12138.4</v>
      </c>
      <c r="J78" s="40">
        <v>11326.7</v>
      </c>
      <c r="K78" s="40">
        <v>13133.5</v>
      </c>
      <c r="L78" s="40">
        <v>12381.05</v>
      </c>
      <c r="M78" s="40">
        <v>14190.95</v>
      </c>
      <c r="N78" s="4">
        <v>12991.6</v>
      </c>
      <c r="O78" s="4">
        <v>15235.9</v>
      </c>
      <c r="P78" s="4">
        <v>12800.9</v>
      </c>
      <c r="Q78" s="4">
        <v>12868.55</v>
      </c>
      <c r="R78" s="4">
        <f>R75*R77+0.03</f>
        <v>11326.650000000001</v>
      </c>
      <c r="S78" s="4">
        <v>11056.3</v>
      </c>
      <c r="T78" s="4">
        <v>11597.31</v>
      </c>
    </row>
    <row r="79" spans="1:20" ht="12.75">
      <c r="A79" s="1"/>
      <c r="B79" s="1"/>
      <c r="C79" s="1"/>
      <c r="D79" s="1"/>
      <c r="E79" s="32" t="s">
        <v>141</v>
      </c>
      <c r="H79" s="7">
        <f t="shared" si="26"/>
        <v>507</v>
      </c>
      <c r="I79" s="40">
        <v>42</v>
      </c>
      <c r="J79" s="40">
        <v>42</v>
      </c>
      <c r="K79" s="40">
        <v>42</v>
      </c>
      <c r="L79" s="40">
        <v>42</v>
      </c>
      <c r="M79" s="40">
        <v>42</v>
      </c>
      <c r="N79" s="4">
        <v>42</v>
      </c>
      <c r="O79" s="4">
        <v>42</v>
      </c>
      <c r="P79" s="4">
        <v>42</v>
      </c>
      <c r="Q79" s="4">
        <v>42</v>
      </c>
      <c r="R79" s="4">
        <v>43</v>
      </c>
      <c r="S79" s="4">
        <v>43</v>
      </c>
      <c r="T79" s="4">
        <v>43</v>
      </c>
    </row>
    <row r="80" spans="1:20" ht="12.75">
      <c r="A80" s="1"/>
      <c r="B80" s="1"/>
      <c r="C80" s="1"/>
      <c r="D80" s="1"/>
      <c r="E80" s="32" t="s">
        <v>142</v>
      </c>
      <c r="H80" s="7">
        <f t="shared" si="26"/>
        <v>11151.300000000001</v>
      </c>
      <c r="I80" s="40">
        <v>886.9</v>
      </c>
      <c r="J80" s="40">
        <v>886.9</v>
      </c>
      <c r="K80" s="40">
        <v>886.9</v>
      </c>
      <c r="L80" s="40">
        <v>1158.25</v>
      </c>
      <c r="M80" s="40">
        <v>933.5</v>
      </c>
      <c r="N80" s="4">
        <v>933.5</v>
      </c>
      <c r="O80" s="4">
        <v>933.5</v>
      </c>
      <c r="P80" s="4">
        <v>933.5</v>
      </c>
      <c r="Q80" s="4">
        <v>899.55</v>
      </c>
      <c r="R80" s="4">
        <v>899.6</v>
      </c>
      <c r="S80" s="4">
        <v>899.6</v>
      </c>
      <c r="T80" s="4">
        <v>899.6</v>
      </c>
    </row>
    <row r="81" spans="1:20" ht="12.75">
      <c r="A81" s="1"/>
      <c r="B81" s="1"/>
      <c r="C81" s="1"/>
      <c r="D81" s="1"/>
      <c r="E81" s="32" t="s">
        <v>143</v>
      </c>
      <c r="H81" s="7">
        <f t="shared" si="26"/>
        <v>16</v>
      </c>
      <c r="I81" s="40">
        <v>0</v>
      </c>
      <c r="J81" s="40"/>
      <c r="K81" s="40">
        <v>4</v>
      </c>
      <c r="L81" s="40"/>
      <c r="M81" s="40"/>
      <c r="N81" s="4">
        <v>4</v>
      </c>
      <c r="O81" s="4">
        <v>0</v>
      </c>
      <c r="P81" s="4"/>
      <c r="Q81" s="4">
        <v>4</v>
      </c>
      <c r="R81" s="4"/>
      <c r="S81" s="4"/>
      <c r="T81" s="4">
        <v>4</v>
      </c>
    </row>
    <row r="82" spans="1:20" ht="12.75">
      <c r="A82" s="1"/>
      <c r="B82" s="1"/>
      <c r="C82" s="1"/>
      <c r="D82" s="1"/>
      <c r="E82" s="32" t="s">
        <v>144</v>
      </c>
      <c r="H82" s="7">
        <f t="shared" si="26"/>
        <v>965.8499999999999</v>
      </c>
      <c r="I82" s="40"/>
      <c r="J82" s="40"/>
      <c r="K82" s="40">
        <v>241.45</v>
      </c>
      <c r="L82" s="40"/>
      <c r="M82" s="40"/>
      <c r="N82" s="4">
        <v>241.45</v>
      </c>
      <c r="O82" s="4">
        <v>0</v>
      </c>
      <c r="P82" s="4"/>
      <c r="Q82" s="4">
        <v>241.5</v>
      </c>
      <c r="R82" s="4"/>
      <c r="S82" s="4"/>
      <c r="T82" s="4">
        <v>241.45</v>
      </c>
    </row>
    <row r="83" spans="1:20" ht="18">
      <c r="A83" s="1"/>
      <c r="B83" s="1"/>
      <c r="C83" s="1"/>
      <c r="D83" s="1"/>
      <c r="E83" s="33" t="s">
        <v>136</v>
      </c>
      <c r="F83" s="2"/>
      <c r="G83" s="2"/>
      <c r="H83" s="7">
        <f t="shared" si="26"/>
        <v>0</v>
      </c>
      <c r="I83" s="38"/>
      <c r="J83" s="38"/>
      <c r="K83" s="38"/>
      <c r="L83" s="38"/>
      <c r="M83" s="38"/>
      <c r="N83" s="13"/>
      <c r="O83" s="13"/>
      <c r="P83" s="13"/>
      <c r="Q83" s="13"/>
      <c r="R83" s="13"/>
      <c r="S83" s="13"/>
      <c r="T83" s="13"/>
    </row>
    <row r="84" spans="1:20" ht="12.75">
      <c r="A84" s="1"/>
      <c r="B84" s="1"/>
      <c r="C84" s="1"/>
      <c r="D84" s="1"/>
      <c r="E84" s="32" t="s">
        <v>80</v>
      </c>
      <c r="H84" s="7">
        <f t="shared" si="26"/>
        <v>0</v>
      </c>
      <c r="I84" s="38"/>
      <c r="J84" s="38"/>
      <c r="K84" s="38"/>
      <c r="L84" s="38"/>
      <c r="M84" s="38"/>
      <c r="N84" s="13"/>
      <c r="O84" s="13"/>
      <c r="P84" s="13"/>
      <c r="Q84" s="13"/>
      <c r="R84" s="13"/>
      <c r="S84" s="13"/>
      <c r="T84" s="13"/>
    </row>
    <row r="85" spans="1:20" ht="12.75">
      <c r="A85" s="1"/>
      <c r="B85" s="1"/>
      <c r="C85" s="1"/>
      <c r="D85" s="1"/>
      <c r="E85" s="32" t="s">
        <v>81</v>
      </c>
      <c r="F85" s="22"/>
      <c r="G85" s="22"/>
      <c r="H85" s="7">
        <f t="shared" si="26"/>
        <v>0</v>
      </c>
      <c r="I85" s="40">
        <f>I83*I84</f>
        <v>0</v>
      </c>
      <c r="J85" s="40">
        <f>J83*J84</f>
        <v>0</v>
      </c>
      <c r="K85" s="40">
        <f>K83*K84</f>
        <v>0</v>
      </c>
      <c r="L85" s="40">
        <f>L83*L84</f>
        <v>0</v>
      </c>
      <c r="M85" s="40">
        <f aca="true" t="shared" si="27" ref="M85:T85">M83*M84</f>
        <v>0</v>
      </c>
      <c r="N85" s="4">
        <f t="shared" si="27"/>
        <v>0</v>
      </c>
      <c r="O85" s="4">
        <f t="shared" si="27"/>
        <v>0</v>
      </c>
      <c r="P85" s="4">
        <f t="shared" si="27"/>
        <v>0</v>
      </c>
      <c r="Q85" s="4">
        <f t="shared" si="27"/>
        <v>0</v>
      </c>
      <c r="R85" s="4">
        <f t="shared" si="27"/>
        <v>0</v>
      </c>
      <c r="S85" s="4">
        <f t="shared" si="27"/>
        <v>0</v>
      </c>
      <c r="T85" s="4">
        <f t="shared" si="27"/>
        <v>0</v>
      </c>
    </row>
    <row r="86" spans="1:20" ht="12.75">
      <c r="A86" s="1"/>
      <c r="B86" s="1"/>
      <c r="C86" s="1"/>
      <c r="D86" s="1"/>
      <c r="E86" s="33" t="s">
        <v>137</v>
      </c>
      <c r="F86" s="22"/>
      <c r="G86" s="22"/>
      <c r="H86" s="7">
        <f t="shared" si="26"/>
        <v>0</v>
      </c>
      <c r="I86" s="38"/>
      <c r="J86" s="38"/>
      <c r="K86" s="38"/>
      <c r="L86" s="38"/>
      <c r="M86" s="38"/>
      <c r="N86" s="13"/>
      <c r="O86" s="13"/>
      <c r="P86" s="13"/>
      <c r="Q86" s="13"/>
      <c r="R86" s="13"/>
      <c r="S86" s="13"/>
      <c r="T86" s="13"/>
    </row>
    <row r="87" spans="1:20" ht="12.75">
      <c r="A87" s="1"/>
      <c r="B87" s="1"/>
      <c r="C87" s="1"/>
      <c r="D87" s="1"/>
      <c r="E87" s="32" t="s">
        <v>101</v>
      </c>
      <c r="F87" s="26"/>
      <c r="G87" s="26"/>
      <c r="H87" s="7">
        <f t="shared" si="26"/>
        <v>0</v>
      </c>
      <c r="I87" s="32"/>
      <c r="J87" s="32"/>
      <c r="K87" s="32"/>
      <c r="L87" s="32"/>
      <c r="M87" s="32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32" t="s">
        <v>81</v>
      </c>
      <c r="F88" s="26"/>
      <c r="G88" s="26"/>
      <c r="H88" s="7">
        <f t="shared" si="26"/>
        <v>0</v>
      </c>
      <c r="I88" s="40">
        <f>I86*I87</f>
        <v>0</v>
      </c>
      <c r="J88" s="40">
        <f>J86*J87</f>
        <v>0</v>
      </c>
      <c r="K88" s="40">
        <f>K86*K87</f>
        <v>0</v>
      </c>
      <c r="L88" s="40">
        <f>L86*L87</f>
        <v>0</v>
      </c>
      <c r="M88" s="40">
        <f aca="true" t="shared" si="28" ref="M88:T88">M86*M87</f>
        <v>0</v>
      </c>
      <c r="N88" s="4">
        <f t="shared" si="28"/>
        <v>0</v>
      </c>
      <c r="O88" s="4">
        <f t="shared" si="28"/>
        <v>0</v>
      </c>
      <c r="P88" s="4">
        <f t="shared" si="28"/>
        <v>0</v>
      </c>
      <c r="Q88" s="4">
        <f t="shared" si="28"/>
        <v>0</v>
      </c>
      <c r="R88" s="4">
        <f t="shared" si="28"/>
        <v>0</v>
      </c>
      <c r="S88" s="4">
        <f t="shared" si="28"/>
        <v>0</v>
      </c>
      <c r="T88" s="4">
        <f t="shared" si="28"/>
        <v>0</v>
      </c>
    </row>
    <row r="89" spans="6:9" ht="12.75">
      <c r="F89" s="26"/>
      <c r="G89" s="26" t="s">
        <v>83</v>
      </c>
      <c r="H89" s="7">
        <f t="shared" si="26"/>
        <v>0</v>
      </c>
      <c r="I89" s="44"/>
    </row>
    <row r="90" spans="1:20" ht="18">
      <c r="A90" s="1"/>
      <c r="B90" s="1"/>
      <c r="C90" s="1"/>
      <c r="D90" s="1"/>
      <c r="E90" s="2"/>
      <c r="H90" s="3">
        <f t="shared" si="26"/>
        <v>0</v>
      </c>
      <c r="I90" s="40" t="s">
        <v>89</v>
      </c>
      <c r="J90" s="40" t="s">
        <v>90</v>
      </c>
      <c r="K90" s="40" t="s">
        <v>91</v>
      </c>
      <c r="L90" s="45" t="s">
        <v>92</v>
      </c>
      <c r="M90" s="40" t="s">
        <v>93</v>
      </c>
      <c r="N90" s="4" t="s">
        <v>94</v>
      </c>
      <c r="O90" s="4" t="s">
        <v>95</v>
      </c>
      <c r="P90" s="5" t="s">
        <v>96</v>
      </c>
      <c r="Q90" s="4" t="s">
        <v>97</v>
      </c>
      <c r="R90" s="4" t="s">
        <v>98</v>
      </c>
      <c r="S90" s="4" t="s">
        <v>99</v>
      </c>
      <c r="T90" s="5" t="s">
        <v>100</v>
      </c>
    </row>
    <row r="91" spans="5:20" ht="12.75">
      <c r="E91" s="18" t="s">
        <v>157</v>
      </c>
      <c r="H91" s="21">
        <f t="shared" si="26"/>
        <v>4997.42</v>
      </c>
      <c r="I91" s="44">
        <f>SUM(I92:I97)</f>
        <v>1390.8100000000002</v>
      </c>
      <c r="J91" s="44">
        <f>SUM(J92:J97)</f>
        <v>976.97</v>
      </c>
      <c r="K91" s="44">
        <f>SUM(K92:K97)</f>
        <v>956.2199999999999</v>
      </c>
      <c r="L91" s="44">
        <f>SUM(L92:L97)</f>
        <v>1009.8399999999998</v>
      </c>
      <c r="M91" s="44">
        <f aca="true" t="shared" si="29" ref="M91:T91">SUM(M92:M97)</f>
        <v>346.61</v>
      </c>
      <c r="N91">
        <f t="shared" si="29"/>
        <v>316.97</v>
      </c>
      <c r="O91">
        <f t="shared" si="29"/>
        <v>0</v>
      </c>
      <c r="P91">
        <f t="shared" si="29"/>
        <v>0</v>
      </c>
      <c r="Q91">
        <f t="shared" si="29"/>
        <v>0</v>
      </c>
      <c r="R91">
        <f t="shared" si="29"/>
        <v>0</v>
      </c>
      <c r="S91">
        <f t="shared" si="29"/>
        <v>0</v>
      </c>
      <c r="T91">
        <f t="shared" si="29"/>
        <v>0</v>
      </c>
    </row>
    <row r="92" spans="1:13" s="25" customFormat="1" ht="12.75">
      <c r="A92" s="22"/>
      <c r="B92" s="22"/>
      <c r="C92" s="22"/>
      <c r="D92" s="22"/>
      <c r="E92" s="22" t="s">
        <v>85</v>
      </c>
      <c r="F92" s="18"/>
      <c r="G92" s="18"/>
      <c r="H92" s="23">
        <f t="shared" si="26"/>
        <v>0</v>
      </c>
      <c r="I92" s="49"/>
      <c r="J92" s="49"/>
      <c r="K92" s="49"/>
      <c r="L92" s="49"/>
      <c r="M92" s="49"/>
    </row>
    <row r="93" spans="1:13" s="25" customFormat="1" ht="12.75">
      <c r="A93" s="22"/>
      <c r="B93" s="22"/>
      <c r="C93" s="22"/>
      <c r="D93" s="22"/>
      <c r="E93" s="22" t="s">
        <v>86</v>
      </c>
      <c r="F93" s="18"/>
      <c r="G93" s="18"/>
      <c r="H93" s="23">
        <f t="shared" si="26"/>
        <v>29.75</v>
      </c>
      <c r="I93" s="49"/>
      <c r="J93" s="49"/>
      <c r="K93" s="49"/>
      <c r="L93" s="49"/>
      <c r="M93" s="49">
        <v>29.75</v>
      </c>
    </row>
    <row r="94" spans="1:17" s="25" customFormat="1" ht="12.75">
      <c r="A94" s="22"/>
      <c r="B94" s="22"/>
      <c r="C94" s="22"/>
      <c r="D94" s="22"/>
      <c r="E94" s="26" t="s">
        <v>107</v>
      </c>
      <c r="F94" s="18"/>
      <c r="G94" s="18"/>
      <c r="H94" s="23">
        <f t="shared" si="26"/>
        <v>1795.2399999999998</v>
      </c>
      <c r="I94" s="49">
        <v>296.01</v>
      </c>
      <c r="J94" s="49">
        <v>297.28</v>
      </c>
      <c r="K94" s="49">
        <v>298.56</v>
      </c>
      <c r="L94" s="49">
        <v>299.84</v>
      </c>
      <c r="M94" s="49">
        <v>301.13</v>
      </c>
      <c r="N94" s="25">
        <v>302.42</v>
      </c>
      <c r="Q94" s="25">
        <v>0</v>
      </c>
    </row>
    <row r="95" spans="1:17" s="25" customFormat="1" ht="12.75">
      <c r="A95" s="22"/>
      <c r="B95" s="22"/>
      <c r="C95" s="22"/>
      <c r="D95" s="22"/>
      <c r="E95" s="26" t="s">
        <v>87</v>
      </c>
      <c r="F95" s="18"/>
      <c r="G95" s="18"/>
      <c r="H95" s="23">
        <f t="shared" si="26"/>
        <v>2845.43</v>
      </c>
      <c r="I95" s="49">
        <f>708.21+366.2</f>
        <v>1074.41</v>
      </c>
      <c r="J95" s="49">
        <f>100.09+429.74</f>
        <v>529.83</v>
      </c>
      <c r="K95" s="49">
        <f>306.15+241.94</f>
        <v>548.0899999999999</v>
      </c>
      <c r="L95" s="49">
        <f>210.39+482.71</f>
        <v>693.0999999999999</v>
      </c>
      <c r="M95" s="49"/>
      <c r="Q95" s="25">
        <v>0</v>
      </c>
    </row>
    <row r="96" spans="1:13" s="25" customFormat="1" ht="12.75">
      <c r="A96" s="22"/>
      <c r="B96" s="22"/>
      <c r="C96" s="22"/>
      <c r="D96" s="22"/>
      <c r="E96" s="26" t="s">
        <v>88</v>
      </c>
      <c r="F96" s="18"/>
      <c r="G96" s="18"/>
      <c r="H96" s="23">
        <f t="shared" si="26"/>
        <v>222.13</v>
      </c>
      <c r="I96" s="49"/>
      <c r="J96" s="49">
        <f>130.63</f>
        <v>130.63</v>
      </c>
      <c r="K96" s="49">
        <f>19.5+22+50</f>
        <v>91.5</v>
      </c>
      <c r="L96" s="49"/>
      <c r="M96" s="49"/>
    </row>
    <row r="97" spans="5:20" ht="12.75">
      <c r="E97" s="26" t="s">
        <v>140</v>
      </c>
      <c r="H97" s="23">
        <f t="shared" si="26"/>
        <v>104.87</v>
      </c>
      <c r="I97" s="44">
        <v>20.39</v>
      </c>
      <c r="J97" s="44">
        <v>19.23</v>
      </c>
      <c r="K97" s="44">
        <v>18.07</v>
      </c>
      <c r="L97" s="44">
        <v>16.9</v>
      </c>
      <c r="M97" s="49">
        <v>15.73</v>
      </c>
      <c r="N97" s="25">
        <v>14.55</v>
      </c>
      <c r="O97" s="25"/>
      <c r="P97" s="25"/>
      <c r="Q97" s="25">
        <v>0</v>
      </c>
      <c r="R97" s="25"/>
      <c r="S97" s="25"/>
      <c r="T97" s="25"/>
    </row>
    <row r="98" spans="5:13" ht="12.75">
      <c r="E98" s="26" t="s">
        <v>145</v>
      </c>
      <c r="H98" s="23">
        <f t="shared" si="26"/>
        <v>0</v>
      </c>
      <c r="I98" s="44"/>
      <c r="M98" s="49"/>
    </row>
    <row r="99" spans="8:9" ht="12.75">
      <c r="H99" s="23">
        <f t="shared" si="26"/>
        <v>0</v>
      </c>
      <c r="I99" s="44"/>
    </row>
    <row r="100" spans="5:9" ht="12.75">
      <c r="E100" s="26" t="s">
        <v>146</v>
      </c>
      <c r="H100" s="23">
        <f t="shared" si="26"/>
        <v>0</v>
      </c>
      <c r="I100" s="44"/>
    </row>
    <row r="101" spans="5:20" ht="12.75">
      <c r="E101" s="26" t="s">
        <v>147</v>
      </c>
      <c r="H101" s="23">
        <f t="shared" si="26"/>
        <v>1800</v>
      </c>
      <c r="I101" s="44">
        <v>300</v>
      </c>
      <c r="J101" s="44">
        <v>300</v>
      </c>
      <c r="K101" s="44">
        <v>300</v>
      </c>
      <c r="L101" s="44">
        <v>300</v>
      </c>
      <c r="M101" s="44">
        <v>300</v>
      </c>
      <c r="N101" s="44"/>
      <c r="O101" s="44">
        <v>300</v>
      </c>
      <c r="P101" s="44"/>
      <c r="Q101" s="44">
        <v>0</v>
      </c>
      <c r="R101" s="44"/>
      <c r="S101" s="44"/>
      <c r="T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6" r:id="rId1"/>
  <headerFooter alignWithMargins="0">
    <oddHeader>&amp;C&amp;F   &amp;D&amp;RKolga joogivesi &amp;A</oddHeader>
    <oddFooter>&amp;C&amp;F &amp;D&amp;RKolga Joogivesi tegevusala kood &amp;A</oddFooter>
  </headerFooter>
  <rowBreaks count="1" manualBreakCount="1">
    <brk id="6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pane xSplit="8" ySplit="2" topLeftCell="R3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T52" sqref="T52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17" width="10.7109375" style="0" bestFit="1" customWidth="1"/>
    <col min="18" max="18" width="11.7109375" style="0" bestFit="1" customWidth="1"/>
    <col min="19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26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95</v>
      </c>
      <c r="P2" s="5" t="s">
        <v>96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11801.01</v>
      </c>
      <c r="G3" s="4">
        <f>G4+G8+G12</f>
        <v>12571.4</v>
      </c>
      <c r="H3" s="7">
        <f>SUM(I3:T3)</f>
        <v>13557.25</v>
      </c>
      <c r="I3" s="40">
        <f>I4+I8+I12</f>
        <v>1034.6</v>
      </c>
      <c r="J3" s="40">
        <f>J4+J8+J12</f>
        <v>969.35</v>
      </c>
      <c r="K3" s="40">
        <f>K4+K8+K12</f>
        <v>1371.3</v>
      </c>
      <c r="L3" s="40">
        <f>L4+L8+L12</f>
        <v>1127.9</v>
      </c>
      <c r="M3" s="40">
        <f aca="true" t="shared" si="0" ref="M3:T3">M4+M8+M12</f>
        <v>969.35</v>
      </c>
      <c r="N3" s="4">
        <f t="shared" si="0"/>
        <v>1445.9499999999998</v>
      </c>
      <c r="O3" s="4">
        <f t="shared" si="0"/>
        <v>1155.95</v>
      </c>
      <c r="P3" s="4">
        <f t="shared" si="0"/>
        <v>988</v>
      </c>
      <c r="Q3" s="4">
        <f t="shared" si="0"/>
        <v>1166.1</v>
      </c>
      <c r="R3" s="4">
        <f t="shared" si="0"/>
        <v>1044</v>
      </c>
      <c r="S3" s="4">
        <f t="shared" si="0"/>
        <v>1034.7</v>
      </c>
      <c r="T3" s="4">
        <f t="shared" si="0"/>
        <v>1250.05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11801.01</v>
      </c>
      <c r="G4" s="4">
        <f>G5</f>
        <v>12571.4</v>
      </c>
      <c r="H4" s="7">
        <f aca="true" t="shared" si="1" ref="H4:H60">SUM(I4:T4)</f>
        <v>13557.25</v>
      </c>
      <c r="I4" s="40">
        <f>I5</f>
        <v>1034.6</v>
      </c>
      <c r="J4" s="40">
        <f>J5</f>
        <v>969.35</v>
      </c>
      <c r="K4" s="40">
        <f>K5</f>
        <v>1371.3</v>
      </c>
      <c r="L4" s="40">
        <f>L5</f>
        <v>1127.9</v>
      </c>
      <c r="M4" s="40">
        <f aca="true" t="shared" si="2" ref="M4:T4">M5</f>
        <v>969.35</v>
      </c>
      <c r="N4" s="4">
        <f t="shared" si="2"/>
        <v>1445.9499999999998</v>
      </c>
      <c r="O4" s="4">
        <f t="shared" si="2"/>
        <v>1155.95</v>
      </c>
      <c r="P4" s="4">
        <f t="shared" si="2"/>
        <v>988</v>
      </c>
      <c r="Q4" s="4">
        <f t="shared" si="2"/>
        <v>1166.1</v>
      </c>
      <c r="R4" s="4">
        <f t="shared" si="2"/>
        <v>1044</v>
      </c>
      <c r="S4" s="4">
        <f t="shared" si="2"/>
        <v>1034.7</v>
      </c>
      <c r="T4" s="4">
        <f t="shared" si="2"/>
        <v>1250.05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11801.01</v>
      </c>
      <c r="G5" s="4">
        <f>G7</f>
        <v>12571.4</v>
      </c>
      <c r="H5" s="7">
        <f t="shared" si="1"/>
        <v>13557.25</v>
      </c>
      <c r="I5" s="40">
        <f>I7</f>
        <v>1034.6</v>
      </c>
      <c r="J5" s="40">
        <f>J7</f>
        <v>969.35</v>
      </c>
      <c r="K5" s="40">
        <f>K7</f>
        <v>1371.3</v>
      </c>
      <c r="L5" s="40">
        <f>L7</f>
        <v>1127.9</v>
      </c>
      <c r="M5" s="40">
        <f aca="true" t="shared" si="3" ref="M5:T5">M7</f>
        <v>969.35</v>
      </c>
      <c r="N5" s="4">
        <f t="shared" si="3"/>
        <v>1445.9499999999998</v>
      </c>
      <c r="O5" s="4">
        <f t="shared" si="3"/>
        <v>1155.95</v>
      </c>
      <c r="P5" s="4">
        <f t="shared" si="3"/>
        <v>988</v>
      </c>
      <c r="Q5" s="4">
        <f t="shared" si="3"/>
        <v>1166.1</v>
      </c>
      <c r="R5" s="4">
        <f t="shared" si="3"/>
        <v>1044</v>
      </c>
      <c r="S5" s="4">
        <f t="shared" si="3"/>
        <v>1034.7</v>
      </c>
      <c r="T5" s="4">
        <f t="shared" si="3"/>
        <v>1250.05</v>
      </c>
    </row>
    <row r="6" spans="1:20" s="11" customFormat="1" ht="11.25">
      <c r="A6" s="8"/>
      <c r="B6" s="8"/>
      <c r="C6" s="8"/>
      <c r="D6" s="8"/>
      <c r="E6" s="8" t="s">
        <v>135</v>
      </c>
      <c r="F6" s="9">
        <v>1303</v>
      </c>
      <c r="G6" s="9">
        <v>1321</v>
      </c>
      <c r="H6" s="10">
        <f t="shared" si="1"/>
        <v>1366</v>
      </c>
      <c r="I6" s="41">
        <f>I77</f>
        <v>105</v>
      </c>
      <c r="J6" s="41">
        <f>J77</f>
        <v>98</v>
      </c>
      <c r="K6" s="41">
        <f aca="true" t="shared" si="4" ref="K6:T6">K77</f>
        <v>137</v>
      </c>
      <c r="L6" s="41">
        <f t="shared" si="4"/>
        <v>115</v>
      </c>
      <c r="M6" s="41">
        <f t="shared" si="4"/>
        <v>98</v>
      </c>
      <c r="N6" s="41">
        <f t="shared" si="4"/>
        <v>145</v>
      </c>
      <c r="O6" s="41">
        <f t="shared" si="4"/>
        <v>118</v>
      </c>
      <c r="P6" s="41">
        <f t="shared" si="4"/>
        <v>100</v>
      </c>
      <c r="Q6" s="41">
        <f t="shared" si="4"/>
        <v>115</v>
      </c>
      <c r="R6" s="41">
        <f t="shared" si="4"/>
        <v>106</v>
      </c>
      <c r="S6" s="41">
        <f t="shared" si="4"/>
        <v>105</v>
      </c>
      <c r="T6" s="41">
        <f t="shared" si="4"/>
        <v>124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11801.01</v>
      </c>
      <c r="G7" s="13">
        <v>12571.4</v>
      </c>
      <c r="H7" s="10">
        <f t="shared" si="1"/>
        <v>13557.25</v>
      </c>
      <c r="I7" s="38">
        <v>1034.6</v>
      </c>
      <c r="J7" s="38">
        <v>969.35</v>
      </c>
      <c r="K7" s="38">
        <v>1371.3</v>
      </c>
      <c r="L7" s="38">
        <v>1127.9</v>
      </c>
      <c r="M7" s="38">
        <v>969.35</v>
      </c>
      <c r="N7" s="13">
        <f aca="true" t="shared" si="5" ref="N7:T7">N78+N80+N82</f>
        <v>1445.9499999999998</v>
      </c>
      <c r="O7" s="13">
        <f t="shared" si="5"/>
        <v>1155.95</v>
      </c>
      <c r="P7" s="13">
        <f t="shared" si="5"/>
        <v>988</v>
      </c>
      <c r="Q7" s="13">
        <f t="shared" si="5"/>
        <v>1166.1</v>
      </c>
      <c r="R7" s="13">
        <f t="shared" si="5"/>
        <v>1044</v>
      </c>
      <c r="S7" s="13">
        <f t="shared" si="5"/>
        <v>1034.7</v>
      </c>
      <c r="T7" s="13">
        <f t="shared" si="5"/>
        <v>1250.05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6" ref="M8:T8">M9+M11</f>
        <v>0</v>
      </c>
      <c r="N8" s="4">
        <f t="shared" si="6"/>
        <v>0</v>
      </c>
      <c r="O8" s="4">
        <f t="shared" si="6"/>
        <v>0</v>
      </c>
      <c r="P8" s="4">
        <f t="shared" si="6"/>
        <v>0</v>
      </c>
      <c r="Q8" s="4">
        <f t="shared" si="6"/>
        <v>0</v>
      </c>
      <c r="R8" s="4">
        <f t="shared" si="6"/>
        <v>0</v>
      </c>
      <c r="S8" s="4">
        <f t="shared" si="6"/>
        <v>0</v>
      </c>
      <c r="T8" s="4">
        <f t="shared" si="6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7" ref="M9:T9">M10</f>
        <v>0</v>
      </c>
      <c r="N9" s="4">
        <f t="shared" si="7"/>
        <v>0</v>
      </c>
      <c r="O9" s="4">
        <f t="shared" si="7"/>
        <v>0</v>
      </c>
      <c r="P9" s="4">
        <f t="shared" si="7"/>
        <v>0</v>
      </c>
      <c r="Q9" s="4">
        <f t="shared" si="7"/>
        <v>0</v>
      </c>
      <c r="R9" s="4">
        <f t="shared" si="7"/>
        <v>0</v>
      </c>
      <c r="S9" s="4">
        <f t="shared" si="7"/>
        <v>0</v>
      </c>
      <c r="T9" s="4">
        <f t="shared" si="7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/>
      <c r="G10" s="13"/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/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8" ref="I12:T13">I13</f>
        <v>0</v>
      </c>
      <c r="J12" s="40">
        <f t="shared" si="8"/>
        <v>0</v>
      </c>
      <c r="K12" s="40">
        <f t="shared" si="8"/>
        <v>0</v>
      </c>
      <c r="L12" s="40">
        <f t="shared" si="8"/>
        <v>0</v>
      </c>
      <c r="M12" s="40">
        <f t="shared" si="8"/>
        <v>0</v>
      </c>
      <c r="N12" s="4">
        <f t="shared" si="8"/>
        <v>0</v>
      </c>
      <c r="O12" s="4">
        <f t="shared" si="8"/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 t="shared" si="8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8"/>
        <v>0</v>
      </c>
      <c r="J13" s="40">
        <f t="shared" si="8"/>
        <v>0</v>
      </c>
      <c r="K13" s="40">
        <f t="shared" si="8"/>
        <v>0</v>
      </c>
      <c r="L13" s="40">
        <f t="shared" si="8"/>
        <v>0</v>
      </c>
      <c r="M13" s="40">
        <f t="shared" si="8"/>
        <v>0</v>
      </c>
      <c r="N13" s="4">
        <f t="shared" si="8"/>
        <v>0</v>
      </c>
      <c r="O13" s="4">
        <f t="shared" si="8"/>
        <v>0</v>
      </c>
      <c r="P13" s="4">
        <f t="shared" si="8"/>
        <v>0</v>
      </c>
      <c r="Q13" s="4">
        <f t="shared" si="8"/>
        <v>0</v>
      </c>
      <c r="R13" s="4">
        <f t="shared" si="8"/>
        <v>0</v>
      </c>
      <c r="S13" s="4">
        <f t="shared" si="8"/>
        <v>0</v>
      </c>
      <c r="T13" s="4">
        <f t="shared" si="8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9" ref="I15:T16">I16</f>
        <v>0</v>
      </c>
      <c r="J15" s="40">
        <f t="shared" si="9"/>
        <v>0</v>
      </c>
      <c r="K15" s="40">
        <f t="shared" si="9"/>
        <v>0</v>
      </c>
      <c r="L15" s="40">
        <f t="shared" si="9"/>
        <v>0</v>
      </c>
      <c r="M15" s="40">
        <f t="shared" si="9"/>
        <v>0</v>
      </c>
      <c r="N15" s="4">
        <f t="shared" si="9"/>
        <v>0</v>
      </c>
      <c r="O15" s="4">
        <f t="shared" si="9"/>
        <v>0</v>
      </c>
      <c r="P15" s="4">
        <f t="shared" si="9"/>
        <v>0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4">
        <f t="shared" si="9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9"/>
        <v>0</v>
      </c>
      <c r="J16" s="40">
        <f t="shared" si="9"/>
        <v>0</v>
      </c>
      <c r="K16" s="40">
        <f t="shared" si="9"/>
        <v>0</v>
      </c>
      <c r="L16" s="40">
        <f t="shared" si="9"/>
        <v>0</v>
      </c>
      <c r="M16" s="40">
        <f t="shared" si="9"/>
        <v>0</v>
      </c>
      <c r="N16" s="4">
        <f t="shared" si="9"/>
        <v>0</v>
      </c>
      <c r="O16" s="4">
        <f t="shared" si="9"/>
        <v>0</v>
      </c>
      <c r="P16" s="4">
        <f t="shared" si="9"/>
        <v>0</v>
      </c>
      <c r="Q16" s="4">
        <f t="shared" si="9"/>
        <v>0</v>
      </c>
      <c r="R16" s="4">
        <f t="shared" si="9"/>
        <v>0</v>
      </c>
      <c r="S16" s="4">
        <f t="shared" si="9"/>
        <v>0</v>
      </c>
      <c r="T16" s="4">
        <f t="shared" si="9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-26252.370000000003</v>
      </c>
      <c r="G18" s="4">
        <f>G19+G27</f>
        <v>-30634.800000000003</v>
      </c>
      <c r="H18" s="7">
        <f t="shared" si="1"/>
        <v>-9987.789999999999</v>
      </c>
      <c r="I18" s="40">
        <f>I19+I27</f>
        <v>-1137.46</v>
      </c>
      <c r="J18" s="40">
        <f>J19+J27</f>
        <v>-1185.69</v>
      </c>
      <c r="K18" s="40">
        <f>K19+K27</f>
        <v>-2070.91</v>
      </c>
      <c r="L18" s="40">
        <f>L19+L27</f>
        <v>-1191.17</v>
      </c>
      <c r="M18" s="40">
        <f aca="true" t="shared" si="10" ref="M18:T18">M19+M27</f>
        <v>-1021.7099999999999</v>
      </c>
      <c r="N18" s="4">
        <f t="shared" si="10"/>
        <v>-910.2</v>
      </c>
      <c r="O18" s="4">
        <f t="shared" si="10"/>
        <v>0</v>
      </c>
      <c r="P18" s="4">
        <f t="shared" si="10"/>
        <v>0</v>
      </c>
      <c r="Q18" s="4">
        <f t="shared" si="10"/>
        <v>-1446.42</v>
      </c>
      <c r="R18" s="4">
        <f t="shared" si="10"/>
        <v>0</v>
      </c>
      <c r="S18" s="4">
        <f t="shared" si="10"/>
        <v>0</v>
      </c>
      <c r="T18" s="4">
        <f t="shared" si="10"/>
        <v>-1024.23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-11571.9</v>
      </c>
      <c r="G19" s="4">
        <f>G20+G26+G23</f>
        <v>-10631.85</v>
      </c>
      <c r="H19" s="7">
        <f t="shared" si="1"/>
        <v>-4908.150000000001</v>
      </c>
      <c r="I19" s="40">
        <f>I20+I26+I23</f>
        <v>-927</v>
      </c>
      <c r="J19" s="40">
        <f>J20+J26+J23</f>
        <v>-928</v>
      </c>
      <c r="K19" s="40">
        <f>K20+K26+K23</f>
        <v>-928</v>
      </c>
      <c r="L19" s="40">
        <f>L20+L26+L23</f>
        <v>-928</v>
      </c>
      <c r="M19" s="40">
        <f aca="true" t="shared" si="11" ref="M19:T19">M20+M26+M23</f>
        <v>-1013.3</v>
      </c>
      <c r="N19" s="4">
        <f t="shared" si="11"/>
        <v>0</v>
      </c>
      <c r="O19" s="4">
        <f t="shared" si="11"/>
        <v>0</v>
      </c>
      <c r="P19" s="4">
        <f t="shared" si="11"/>
        <v>0</v>
      </c>
      <c r="Q19" s="4">
        <f t="shared" si="11"/>
        <v>0</v>
      </c>
      <c r="R19" s="4">
        <f t="shared" si="11"/>
        <v>0</v>
      </c>
      <c r="S19" s="4">
        <f t="shared" si="11"/>
        <v>0</v>
      </c>
      <c r="T19" s="4">
        <f t="shared" si="11"/>
        <v>-183.85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-8680.01</v>
      </c>
      <c r="G20" s="4">
        <f>SUM(G21:G22)</f>
        <v>-7938.85</v>
      </c>
      <c r="H20" s="7">
        <f t="shared" si="1"/>
        <v>-3658.15</v>
      </c>
      <c r="I20" s="40">
        <f>SUM(I21:I22)</f>
        <v>-690</v>
      </c>
      <c r="J20" s="40">
        <f>SUM(J21:J22)</f>
        <v>-690</v>
      </c>
      <c r="K20" s="40">
        <f>SUM(K21:K22)</f>
        <v>-690</v>
      </c>
      <c r="L20" s="40">
        <f>SUM(L21:L22)</f>
        <v>-690</v>
      </c>
      <c r="M20" s="40">
        <f aca="true" t="shared" si="12" ref="M20:T20">SUM(M21:M22)</f>
        <v>-761.3</v>
      </c>
      <c r="N20" s="4">
        <f t="shared" si="12"/>
        <v>0</v>
      </c>
      <c r="O20" s="4">
        <f t="shared" si="12"/>
        <v>0</v>
      </c>
      <c r="P20" s="4">
        <f t="shared" si="12"/>
        <v>0</v>
      </c>
      <c r="Q20" s="4">
        <f t="shared" si="12"/>
        <v>0</v>
      </c>
      <c r="R20" s="4">
        <f t="shared" si="12"/>
        <v>0</v>
      </c>
      <c r="S20" s="4">
        <f t="shared" si="12"/>
        <v>0</v>
      </c>
      <c r="T20" s="4">
        <f t="shared" si="12"/>
        <v>-136.85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-8680.01</v>
      </c>
      <c r="G21" s="13">
        <v>-7938.85</v>
      </c>
      <c r="H21" s="10">
        <f t="shared" si="1"/>
        <v>-3658.15</v>
      </c>
      <c r="I21" s="38">
        <v>-690</v>
      </c>
      <c r="J21" s="38">
        <v>-690</v>
      </c>
      <c r="K21" s="38">
        <v>-690</v>
      </c>
      <c r="L21" s="38">
        <v>-690</v>
      </c>
      <c r="M21" s="38">
        <v>-761.3</v>
      </c>
      <c r="N21" s="13">
        <f aca="true" t="shared" si="13" ref="N21:S21">N62*-1</f>
        <v>0</v>
      </c>
      <c r="O21" s="13">
        <f t="shared" si="13"/>
        <v>0</v>
      </c>
      <c r="P21" s="13">
        <f t="shared" si="13"/>
        <v>0</v>
      </c>
      <c r="Q21" s="13">
        <f t="shared" si="13"/>
        <v>0</v>
      </c>
      <c r="R21" s="13">
        <f t="shared" si="13"/>
        <v>0</v>
      </c>
      <c r="S21" s="13">
        <f t="shared" si="13"/>
        <v>0</v>
      </c>
      <c r="T21" s="13">
        <v>-136.85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4" ref="M23:T23">SUM(M24:M25)</f>
        <v>0</v>
      </c>
      <c r="N23" s="15">
        <f t="shared" si="14"/>
        <v>0</v>
      </c>
      <c r="O23" s="15">
        <f t="shared" si="14"/>
        <v>0</v>
      </c>
      <c r="P23" s="15">
        <f t="shared" si="14"/>
        <v>0</v>
      </c>
      <c r="Q23" s="15">
        <f t="shared" si="14"/>
        <v>0</v>
      </c>
      <c r="R23" s="15">
        <f t="shared" si="14"/>
        <v>0</v>
      </c>
      <c r="S23" s="15">
        <f t="shared" si="14"/>
        <v>0</v>
      </c>
      <c r="T23" s="15">
        <f t="shared" si="14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-2891.89</v>
      </c>
      <c r="G26" s="4">
        <v>-2693</v>
      </c>
      <c r="H26" s="7">
        <f t="shared" si="1"/>
        <v>-1250</v>
      </c>
      <c r="I26" s="40">
        <v>-237</v>
      </c>
      <c r="J26" s="40">
        <v>-238</v>
      </c>
      <c r="K26" s="40">
        <v>-238</v>
      </c>
      <c r="L26" s="40">
        <v>-238</v>
      </c>
      <c r="M26" s="40">
        <v>-252</v>
      </c>
      <c r="N26" s="4">
        <f aca="true" t="shared" si="15" ref="N26:S26">(N72+N73)*-1</f>
        <v>0</v>
      </c>
      <c r="O26" s="4">
        <f t="shared" si="15"/>
        <v>0</v>
      </c>
      <c r="P26" s="4">
        <f t="shared" si="15"/>
        <v>0</v>
      </c>
      <c r="Q26" s="4">
        <f t="shared" si="15"/>
        <v>0</v>
      </c>
      <c r="R26" s="4">
        <f t="shared" si="15"/>
        <v>0</v>
      </c>
      <c r="S26" s="4">
        <f t="shared" si="15"/>
        <v>0</v>
      </c>
      <c r="T26" s="4">
        <v>-47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-14680.470000000001</v>
      </c>
      <c r="G27" s="4">
        <f>SUM(G28:G41)</f>
        <v>-20002.95</v>
      </c>
      <c r="H27" s="7">
        <f t="shared" si="1"/>
        <v>-5079.64</v>
      </c>
      <c r="I27" s="40">
        <f>SUM(I28:I41)</f>
        <v>-210.45999999999998</v>
      </c>
      <c r="J27" s="40">
        <f aca="true" t="shared" si="16" ref="J27:T27">SUM(J28:J41)</f>
        <v>-257.69</v>
      </c>
      <c r="K27" s="40">
        <f t="shared" si="16"/>
        <v>-1142.91</v>
      </c>
      <c r="L27" s="40">
        <f t="shared" si="16"/>
        <v>-263.17</v>
      </c>
      <c r="M27" s="40">
        <f t="shared" si="16"/>
        <v>-8.41</v>
      </c>
      <c r="N27" s="4">
        <f t="shared" si="16"/>
        <v>-910.2</v>
      </c>
      <c r="O27" s="4">
        <f t="shared" si="16"/>
        <v>0</v>
      </c>
      <c r="P27" s="4">
        <f t="shared" si="16"/>
        <v>0</v>
      </c>
      <c r="Q27" s="4">
        <f t="shared" si="16"/>
        <v>-1446.42</v>
      </c>
      <c r="R27" s="4">
        <f t="shared" si="16"/>
        <v>0</v>
      </c>
      <c r="S27" s="4">
        <f t="shared" si="16"/>
        <v>0</v>
      </c>
      <c r="T27" s="4">
        <f t="shared" si="16"/>
        <v>-840.38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-397.3</v>
      </c>
      <c r="G28" s="13">
        <v>-403.04</v>
      </c>
      <c r="H28" s="10">
        <f t="shared" si="1"/>
        <v>-137.77</v>
      </c>
      <c r="I28" s="38">
        <v>-36.07</v>
      </c>
      <c r="J28" s="38">
        <v>-37.54</v>
      </c>
      <c r="K28" s="38">
        <v>-23.61</v>
      </c>
      <c r="L28" s="38">
        <v>-32.14</v>
      </c>
      <c r="M28" s="38">
        <v>-8.41</v>
      </c>
      <c r="N28" s="13"/>
      <c r="O28" s="13"/>
      <c r="P28" s="13"/>
      <c r="Q28" s="13"/>
      <c r="R28" s="13"/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/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-3665.75</v>
      </c>
      <c r="G31" s="13">
        <v>-10947.45</v>
      </c>
      <c r="H31" s="10">
        <f t="shared" si="1"/>
        <v>-534.17</v>
      </c>
      <c r="I31" s="38"/>
      <c r="J31" s="38"/>
      <c r="K31" s="38"/>
      <c r="L31" s="38"/>
      <c r="M31" s="38"/>
      <c r="N31" s="13"/>
      <c r="O31" s="13"/>
      <c r="P31" s="13"/>
      <c r="Q31" s="13">
        <v>-534.17</v>
      </c>
      <c r="R31" s="13"/>
      <c r="S31" s="13"/>
      <c r="T31" s="13"/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-5173.1</v>
      </c>
      <c r="G32" s="13">
        <v>-4855.86</v>
      </c>
      <c r="H32" s="10">
        <f t="shared" si="1"/>
        <v>-838.77</v>
      </c>
      <c r="I32" s="38">
        <v>-174.39</v>
      </c>
      <c r="J32" s="38">
        <v>-220.15</v>
      </c>
      <c r="K32" s="38">
        <v>-213.2</v>
      </c>
      <c r="L32" s="38">
        <v>-231.03</v>
      </c>
      <c r="M32" s="38"/>
      <c r="N32" s="13"/>
      <c r="O32" s="13"/>
      <c r="P32" s="13"/>
      <c r="Q32" s="13"/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>
        <v>-30</v>
      </c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-6.61</v>
      </c>
      <c r="G34" s="13"/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/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/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/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-5407.71</v>
      </c>
      <c r="G38" s="13">
        <v>-3796.6</v>
      </c>
      <c r="H38" s="10">
        <f t="shared" si="1"/>
        <v>-3568.9300000000003</v>
      </c>
      <c r="I38" s="38"/>
      <c r="J38" s="38"/>
      <c r="K38" s="38">
        <v>-906.1</v>
      </c>
      <c r="L38" s="38"/>
      <c r="M38" s="38"/>
      <c r="N38" s="13">
        <v>-910.2</v>
      </c>
      <c r="O38" s="13"/>
      <c r="P38" s="13"/>
      <c r="Q38" s="13">
        <v>-912.25</v>
      </c>
      <c r="R38" s="13"/>
      <c r="S38" s="13"/>
      <c r="T38" s="13">
        <v>-840.38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/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/>
      <c r="G40" s="13"/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0</v>
      </c>
      <c r="G42" s="4">
        <f>G43+G48+G55+G58</f>
        <v>-412.90999999999997</v>
      </c>
      <c r="H42" s="4">
        <f t="shared" si="1"/>
        <v>-631.95</v>
      </c>
      <c r="I42" s="40">
        <f aca="true" t="shared" si="17" ref="I42:T42">I43+I48+I55+I58</f>
        <v>-56.8</v>
      </c>
      <c r="J42" s="40">
        <f t="shared" si="17"/>
        <v>-55.41</v>
      </c>
      <c r="K42" s="40">
        <f t="shared" si="17"/>
        <v>-56.019999999999996</v>
      </c>
      <c r="L42" s="40">
        <f t="shared" si="17"/>
        <v>-55.63</v>
      </c>
      <c r="M42" s="40">
        <f t="shared" si="17"/>
        <v>-54.24</v>
      </c>
      <c r="N42" s="4">
        <f t="shared" si="17"/>
        <v>-55.85</v>
      </c>
      <c r="O42" s="4">
        <f t="shared" si="17"/>
        <v>-50</v>
      </c>
      <c r="P42" s="4">
        <f t="shared" si="17"/>
        <v>-49</v>
      </c>
      <c r="Q42" s="4">
        <f t="shared" si="17"/>
        <v>-50</v>
      </c>
      <c r="R42" s="4">
        <f>R43+R48+R55+R58</f>
        <v>-50</v>
      </c>
      <c r="S42" s="4">
        <f t="shared" si="17"/>
        <v>-49</v>
      </c>
      <c r="T42" s="4">
        <f t="shared" si="17"/>
        <v>-50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0</v>
      </c>
      <c r="G43" s="4">
        <f>G44+G46+G47</f>
        <v>0</v>
      </c>
      <c r="H43" s="7">
        <f t="shared" si="1"/>
        <v>0</v>
      </c>
      <c r="I43" s="40">
        <f aca="true" t="shared" si="18" ref="I43:T43">I44+I46+I47</f>
        <v>0</v>
      </c>
      <c r="J43" s="40">
        <f t="shared" si="18"/>
        <v>0</v>
      </c>
      <c r="K43" s="40">
        <f t="shared" si="18"/>
        <v>0</v>
      </c>
      <c r="L43" s="40">
        <f t="shared" si="18"/>
        <v>0</v>
      </c>
      <c r="M43" s="40">
        <f t="shared" si="18"/>
        <v>0</v>
      </c>
      <c r="N43" s="4">
        <f t="shared" si="18"/>
        <v>0</v>
      </c>
      <c r="O43" s="4">
        <f t="shared" si="18"/>
        <v>0</v>
      </c>
      <c r="P43" s="4">
        <f t="shared" si="18"/>
        <v>0</v>
      </c>
      <c r="Q43" s="4">
        <f t="shared" si="18"/>
        <v>0</v>
      </c>
      <c r="R43" s="4">
        <f t="shared" si="18"/>
        <v>0</v>
      </c>
      <c r="S43" s="4">
        <f t="shared" si="18"/>
        <v>0</v>
      </c>
      <c r="T43" s="4">
        <f t="shared" si="18"/>
        <v>0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0</v>
      </c>
      <c r="G44" s="4">
        <f>G45</f>
        <v>0</v>
      </c>
      <c r="H44" s="7">
        <f t="shared" si="1"/>
        <v>0</v>
      </c>
      <c r="I44" s="40">
        <f>I45</f>
        <v>0</v>
      </c>
      <c r="J44" s="40">
        <f>J45</f>
        <v>0</v>
      </c>
      <c r="K44" s="40">
        <f>K45</f>
        <v>0</v>
      </c>
      <c r="L44" s="40">
        <f>L45</f>
        <v>0</v>
      </c>
      <c r="M44" s="40">
        <f aca="true" t="shared" si="19" ref="M44:T44">M45</f>
        <v>0</v>
      </c>
      <c r="N44" s="4">
        <f t="shared" si="19"/>
        <v>0</v>
      </c>
      <c r="O44" s="4">
        <f t="shared" si="19"/>
        <v>0</v>
      </c>
      <c r="P44" s="4">
        <f t="shared" si="19"/>
        <v>0</v>
      </c>
      <c r="Q44" s="4">
        <f t="shared" si="19"/>
        <v>0</v>
      </c>
      <c r="R44" s="4">
        <f t="shared" si="19"/>
        <v>0</v>
      </c>
      <c r="S44" s="4">
        <f t="shared" si="19"/>
        <v>0</v>
      </c>
      <c r="T44" s="4">
        <f t="shared" si="19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/>
      <c r="G45" s="13"/>
      <c r="H45" s="10">
        <f t="shared" si="1"/>
        <v>0</v>
      </c>
      <c r="I45" s="38"/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/>
      <c r="G46" s="15"/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0</v>
      </c>
      <c r="G48" s="4">
        <f>G54+G49</f>
        <v>-349</v>
      </c>
      <c r="H48" s="7">
        <f t="shared" si="1"/>
        <v>-597</v>
      </c>
      <c r="I48" s="40">
        <f>I54+I49</f>
        <v>-50</v>
      </c>
      <c r="J48" s="40">
        <f>J54+J49</f>
        <v>-49</v>
      </c>
      <c r="K48" s="40">
        <f>K54+K49</f>
        <v>-50</v>
      </c>
      <c r="L48" s="40">
        <f>L54+L49</f>
        <v>-50</v>
      </c>
      <c r="M48" s="40">
        <f aca="true" t="shared" si="20" ref="M48:T48">M54+M49</f>
        <v>-49</v>
      </c>
      <c r="N48" s="4">
        <f t="shared" si="20"/>
        <v>-51</v>
      </c>
      <c r="O48" s="4">
        <f t="shared" si="20"/>
        <v>-50</v>
      </c>
      <c r="P48" s="4">
        <f t="shared" si="20"/>
        <v>-49</v>
      </c>
      <c r="Q48" s="4">
        <f t="shared" si="20"/>
        <v>-50</v>
      </c>
      <c r="R48" s="4">
        <f t="shared" si="20"/>
        <v>-50</v>
      </c>
      <c r="S48" s="4">
        <f t="shared" si="20"/>
        <v>-49</v>
      </c>
      <c r="T48" s="4">
        <f t="shared" si="20"/>
        <v>-50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0</v>
      </c>
      <c r="G49" s="4">
        <f>SUM(G50:G53)</f>
        <v>-349</v>
      </c>
      <c r="H49" s="7">
        <f t="shared" si="1"/>
        <v>-597</v>
      </c>
      <c r="I49" s="40">
        <f>SUM(I50:I53)</f>
        <v>-50</v>
      </c>
      <c r="J49" s="40">
        <f>SUM(J50:J53)</f>
        <v>-49</v>
      </c>
      <c r="K49" s="40">
        <f>SUM(K50:K53)</f>
        <v>-50</v>
      </c>
      <c r="L49" s="40">
        <f>SUM(L50:L53)</f>
        <v>-50</v>
      </c>
      <c r="M49" s="40">
        <f aca="true" t="shared" si="21" ref="M49:T49">SUM(M50:M53)</f>
        <v>-49</v>
      </c>
      <c r="N49" s="4">
        <f t="shared" si="21"/>
        <v>-51</v>
      </c>
      <c r="O49" s="4">
        <f t="shared" si="21"/>
        <v>-50</v>
      </c>
      <c r="P49" s="4">
        <f t="shared" si="21"/>
        <v>-49</v>
      </c>
      <c r="Q49" s="4">
        <f t="shared" si="21"/>
        <v>-50</v>
      </c>
      <c r="R49" s="4">
        <f t="shared" si="21"/>
        <v>-50</v>
      </c>
      <c r="S49" s="4">
        <f t="shared" si="21"/>
        <v>-49</v>
      </c>
      <c r="T49" s="4">
        <f t="shared" si="21"/>
        <v>-50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/>
      <c r="G50" s="13"/>
      <c r="H50" s="10">
        <f t="shared" si="1"/>
        <v>0</v>
      </c>
      <c r="I50" s="38"/>
      <c r="J50" s="38"/>
      <c r="K50" s="38"/>
      <c r="L50" s="38"/>
      <c r="M50" s="38"/>
      <c r="N50" s="13"/>
      <c r="O50" s="13"/>
      <c r="P50" s="13"/>
      <c r="Q50" s="13"/>
      <c r="R50" s="13"/>
      <c r="S50" s="13"/>
      <c r="T50" s="13"/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>
        <v>-349</v>
      </c>
      <c r="H51" s="10">
        <f>SUM(I51:T51)</f>
        <v>-597</v>
      </c>
      <c r="I51" s="38">
        <v>-50</v>
      </c>
      <c r="J51" s="38">
        <v>-49</v>
      </c>
      <c r="K51" s="38">
        <v>-50</v>
      </c>
      <c r="L51" s="38">
        <v>-50</v>
      </c>
      <c r="M51" s="38">
        <v>-49</v>
      </c>
      <c r="N51" s="13">
        <v>-51</v>
      </c>
      <c r="O51" s="13">
        <v>-50</v>
      </c>
      <c r="P51" s="13">
        <v>-49</v>
      </c>
      <c r="Q51" s="13">
        <v>-50</v>
      </c>
      <c r="R51" s="13">
        <v>-50</v>
      </c>
      <c r="S51" s="13">
        <v>-49</v>
      </c>
      <c r="T51" s="13">
        <v>-50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"/>
      <c r="P52" s="1"/>
      <c r="Q52" s="1"/>
      <c r="R52" s="1"/>
      <c r="S52" s="1"/>
      <c r="T52" s="1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-63.91</v>
      </c>
      <c r="H55" s="7">
        <f t="shared" si="1"/>
        <v>-34.95</v>
      </c>
      <c r="I55" s="40">
        <f>I57+I56</f>
        <v>-6.8</v>
      </c>
      <c r="J55" s="40">
        <f>J57+J56</f>
        <v>-6.41</v>
      </c>
      <c r="K55" s="40">
        <f>K57+K56</f>
        <v>-6.02</v>
      </c>
      <c r="L55" s="40">
        <f>L57+L56</f>
        <v>-5.63</v>
      </c>
      <c r="M55" s="40">
        <f aca="true" t="shared" si="22" ref="M55:T55">M57+M56</f>
        <v>-5.24</v>
      </c>
      <c r="N55" s="4">
        <f t="shared" si="22"/>
        <v>-4.85</v>
      </c>
      <c r="O55" s="4">
        <f t="shared" si="22"/>
        <v>0</v>
      </c>
      <c r="P55" s="4">
        <f t="shared" si="22"/>
        <v>0</v>
      </c>
      <c r="Q55" s="4">
        <f t="shared" si="22"/>
        <v>0</v>
      </c>
      <c r="R55" s="4">
        <f t="shared" si="22"/>
        <v>0</v>
      </c>
      <c r="S55" s="4">
        <f t="shared" si="22"/>
        <v>0</v>
      </c>
      <c r="T55" s="4">
        <f t="shared" si="22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>
        <v>-63.91</v>
      </c>
      <c r="H56" s="7">
        <f t="shared" si="1"/>
        <v>-34.95</v>
      </c>
      <c r="I56" s="40">
        <v>-6.8</v>
      </c>
      <c r="J56" s="40">
        <v>-6.41</v>
      </c>
      <c r="K56" s="40">
        <v>-6.02</v>
      </c>
      <c r="L56" s="40">
        <v>-5.63</v>
      </c>
      <c r="M56" s="40">
        <v>-5.24</v>
      </c>
      <c r="N56" s="4">
        <v>-4.85</v>
      </c>
      <c r="O56" s="4"/>
      <c r="P56" s="4"/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-14451.360000000002</v>
      </c>
      <c r="G59" s="7">
        <f>G3+G15+G18+G42</f>
        <v>-18476.31</v>
      </c>
      <c r="H59" s="7">
        <f t="shared" si="1"/>
        <v>2937.5099999999993</v>
      </c>
      <c r="I59" s="43">
        <f>I3+I15+I18+I42</f>
        <v>-159.66000000000014</v>
      </c>
      <c r="J59" s="43">
        <f>J3+J15+J18+J42</f>
        <v>-271.75</v>
      </c>
      <c r="K59" s="43">
        <f>K3+K15+K18+K42</f>
        <v>-755.6299999999999</v>
      </c>
      <c r="L59" s="43">
        <f>L3+L15+L18+L42</f>
        <v>-118.89999999999998</v>
      </c>
      <c r="M59" s="43">
        <f aca="true" t="shared" si="23" ref="M59:T59">M3+M15+M18+M42</f>
        <v>-106.59999999999991</v>
      </c>
      <c r="N59" s="7">
        <f t="shared" si="23"/>
        <v>479.89999999999975</v>
      </c>
      <c r="O59" s="7">
        <f t="shared" si="23"/>
        <v>1105.95</v>
      </c>
      <c r="P59" s="7">
        <f t="shared" si="23"/>
        <v>939</v>
      </c>
      <c r="Q59" s="7">
        <f t="shared" si="23"/>
        <v>-330.32000000000016</v>
      </c>
      <c r="R59" s="7">
        <f t="shared" si="23"/>
        <v>994</v>
      </c>
      <c r="S59" s="7">
        <f t="shared" si="23"/>
        <v>985.7</v>
      </c>
      <c r="T59" s="7">
        <f t="shared" si="23"/>
        <v>175.81999999999994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26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94</v>
      </c>
      <c r="O61" s="5" t="s">
        <v>95</v>
      </c>
      <c r="P61" s="5" t="s">
        <v>96</v>
      </c>
      <c r="Q61" s="5" t="s">
        <v>97</v>
      </c>
      <c r="R61" s="5" t="s">
        <v>262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3658.15</v>
      </c>
      <c r="I62" s="44">
        <f>SUM(I63:I71)</f>
        <v>690</v>
      </c>
      <c r="J62" s="44">
        <f>SUM(J63:J71)</f>
        <v>690</v>
      </c>
      <c r="K62" s="44">
        <f>SUM(K63:K71)</f>
        <v>690</v>
      </c>
      <c r="L62" s="44">
        <f>SUM(L63:L71)</f>
        <v>690</v>
      </c>
      <c r="M62" s="44">
        <f aca="true" t="shared" si="24" ref="M62:T62">SUM(M63:M71)</f>
        <v>761.3</v>
      </c>
      <c r="N62">
        <f t="shared" si="24"/>
        <v>0</v>
      </c>
      <c r="O62">
        <f t="shared" si="24"/>
        <v>0</v>
      </c>
      <c r="P62">
        <f t="shared" si="24"/>
        <v>0</v>
      </c>
      <c r="Q62">
        <f t="shared" si="24"/>
        <v>0</v>
      </c>
      <c r="R62">
        <f t="shared" si="24"/>
        <v>0</v>
      </c>
      <c r="S62">
        <f t="shared" si="24"/>
        <v>0</v>
      </c>
      <c r="T62">
        <f t="shared" si="24"/>
        <v>136.85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2760</v>
      </c>
      <c r="I63" s="46">
        <f>690</f>
        <v>690</v>
      </c>
      <c r="J63" s="46">
        <v>690</v>
      </c>
      <c r="K63" s="46">
        <v>690</v>
      </c>
      <c r="L63" s="46">
        <v>690</v>
      </c>
      <c r="M63" s="46"/>
      <c r="N63" s="24">
        <v>0</v>
      </c>
      <c r="O63" s="24"/>
      <c r="P63" s="24"/>
      <c r="Q63" s="24"/>
      <c r="R63" s="24"/>
      <c r="S63" s="24"/>
      <c r="T63" s="24"/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5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5"/>
        <v>136.85</v>
      </c>
      <c r="I65" s="47"/>
      <c r="J65" s="47"/>
      <c r="K65" s="47"/>
      <c r="L65" s="47"/>
      <c r="M65" s="47"/>
      <c r="N65" s="27"/>
      <c r="O65" s="27"/>
      <c r="P65" s="27"/>
      <c r="Q65" s="27"/>
      <c r="R65" s="27"/>
      <c r="S65" s="27"/>
      <c r="T65" s="27">
        <v>136.85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5"/>
        <v>761.3</v>
      </c>
      <c r="I66" s="47"/>
      <c r="J66" s="47"/>
      <c r="K66" s="47"/>
      <c r="L66" s="47"/>
      <c r="M66" s="47">
        <f>689.9+71.4</f>
        <v>761.3</v>
      </c>
      <c r="N66" s="27"/>
      <c r="O66" s="27"/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5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5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5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1207.029</v>
      </c>
      <c r="I72" s="24">
        <f aca="true" t="shared" si="26" ref="I72:S72">I62*33/100</f>
        <v>227.7</v>
      </c>
      <c r="J72" s="24">
        <f t="shared" si="26"/>
        <v>227.7</v>
      </c>
      <c r="K72" s="24">
        <f t="shared" si="26"/>
        <v>227.7</v>
      </c>
      <c r="L72" s="24">
        <f t="shared" si="26"/>
        <v>227.7</v>
      </c>
      <c r="M72" s="24">
        <f t="shared" si="26"/>
        <v>251.22899999999998</v>
      </c>
      <c r="N72" s="24">
        <f t="shared" si="26"/>
        <v>0</v>
      </c>
      <c r="O72" s="24">
        <f t="shared" si="26"/>
        <v>0</v>
      </c>
      <c r="P72" s="24">
        <f t="shared" si="26"/>
        <v>0</v>
      </c>
      <c r="Q72" s="24">
        <f t="shared" si="26"/>
        <v>0</v>
      </c>
      <c r="R72" s="24">
        <f t="shared" si="26"/>
        <v>0</v>
      </c>
      <c r="S72" s="24">
        <f t="shared" si="26"/>
        <v>0</v>
      </c>
      <c r="T72" s="24">
        <v>45</v>
      </c>
    </row>
    <row r="73" spans="5:20" ht="12.75">
      <c r="E73" s="28" t="s">
        <v>74</v>
      </c>
      <c r="F73" s="28"/>
      <c r="G73" s="28"/>
      <c r="H73" s="21">
        <f>SUM(I73:T73)</f>
        <v>51.298199999999994</v>
      </c>
      <c r="I73" s="24">
        <f aca="true" t="shared" si="27" ref="I73:S73">1.4*I62/100</f>
        <v>9.659999999999998</v>
      </c>
      <c r="J73" s="24">
        <f t="shared" si="27"/>
        <v>9.659999999999998</v>
      </c>
      <c r="K73" s="24">
        <f t="shared" si="27"/>
        <v>9.659999999999998</v>
      </c>
      <c r="L73" s="24">
        <f t="shared" si="27"/>
        <v>9.659999999999998</v>
      </c>
      <c r="M73" s="24">
        <f t="shared" si="27"/>
        <v>10.658199999999999</v>
      </c>
      <c r="N73" s="24">
        <f t="shared" si="27"/>
        <v>0</v>
      </c>
      <c r="O73" s="24">
        <f t="shared" si="27"/>
        <v>0</v>
      </c>
      <c r="P73" s="24">
        <f t="shared" si="27"/>
        <v>0</v>
      </c>
      <c r="Q73" s="24">
        <f t="shared" si="27"/>
        <v>0</v>
      </c>
      <c r="R73" s="24">
        <f t="shared" si="27"/>
        <v>0</v>
      </c>
      <c r="S73" s="24">
        <f t="shared" si="27"/>
        <v>0</v>
      </c>
      <c r="T73" s="24">
        <v>2</v>
      </c>
    </row>
    <row r="74" spans="6:20" ht="13.5" customHeight="1">
      <c r="F74" s="29"/>
      <c r="G74" s="29"/>
      <c r="H74" s="21">
        <f>SUM(I74:T74)</f>
        <v>4916.4772</v>
      </c>
      <c r="I74" s="24">
        <f aca="true" t="shared" si="28" ref="I74:T74">I62+I72+I73</f>
        <v>927.36</v>
      </c>
      <c r="J74" s="24">
        <f t="shared" si="28"/>
        <v>927.36</v>
      </c>
      <c r="K74" s="24">
        <f t="shared" si="28"/>
        <v>927.36</v>
      </c>
      <c r="L74" s="24">
        <f t="shared" si="28"/>
        <v>927.36</v>
      </c>
      <c r="M74" s="24">
        <f t="shared" si="28"/>
        <v>1023.1872</v>
      </c>
      <c r="N74" s="24">
        <f t="shared" si="28"/>
        <v>0</v>
      </c>
      <c r="O74" s="24">
        <f t="shared" si="28"/>
        <v>0</v>
      </c>
      <c r="P74" s="24">
        <f t="shared" si="28"/>
        <v>0</v>
      </c>
      <c r="Q74" s="24">
        <f t="shared" si="28"/>
        <v>0</v>
      </c>
      <c r="R74" s="24">
        <f t="shared" si="28"/>
        <v>0</v>
      </c>
      <c r="S74" s="24">
        <f t="shared" si="28"/>
        <v>0</v>
      </c>
      <c r="T74" s="24">
        <f t="shared" si="28"/>
        <v>183.85</v>
      </c>
    </row>
    <row r="75" spans="5:20" ht="12.75">
      <c r="E75" s="30" t="s">
        <v>75</v>
      </c>
      <c r="H75" s="21" t="s">
        <v>76</v>
      </c>
      <c r="I75" s="48">
        <v>9.33</v>
      </c>
      <c r="J75" s="48">
        <v>9.33</v>
      </c>
      <c r="K75" s="48">
        <v>9.33</v>
      </c>
      <c r="L75" s="48">
        <v>9.33</v>
      </c>
      <c r="M75" s="48">
        <v>9.33</v>
      </c>
      <c r="N75" s="48">
        <v>9.33</v>
      </c>
      <c r="O75" s="48">
        <v>9.33</v>
      </c>
      <c r="P75" s="48">
        <v>9.33</v>
      </c>
      <c r="Q75" s="48">
        <v>9.33</v>
      </c>
      <c r="R75" s="48">
        <v>9.33</v>
      </c>
      <c r="S75" s="48">
        <v>9.33</v>
      </c>
      <c r="T75" s="48">
        <v>9.33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9" ref="H77:H96">SUM(I77:T77)</f>
        <v>1366</v>
      </c>
      <c r="I77" s="32">
        <v>105</v>
      </c>
      <c r="J77" s="32">
        <v>98</v>
      </c>
      <c r="K77" s="32">
        <v>137</v>
      </c>
      <c r="L77" s="32">
        <v>115</v>
      </c>
      <c r="M77" s="32">
        <v>98</v>
      </c>
      <c r="N77" s="1">
        <v>145</v>
      </c>
      <c r="O77" s="1">
        <v>118</v>
      </c>
      <c r="P77" s="1">
        <v>100</v>
      </c>
      <c r="Q77" s="1">
        <v>115</v>
      </c>
      <c r="R77" s="1">
        <v>106</v>
      </c>
      <c r="S77" s="1">
        <v>105</v>
      </c>
      <c r="T77" s="1">
        <v>124</v>
      </c>
    </row>
    <row r="78" spans="1:20" ht="12.75">
      <c r="A78" s="1"/>
      <c r="B78" s="1"/>
      <c r="C78" s="1"/>
      <c r="D78" s="1"/>
      <c r="E78" s="32" t="s">
        <v>78</v>
      </c>
      <c r="H78" s="7">
        <f t="shared" si="29"/>
        <v>12744.95</v>
      </c>
      <c r="I78" s="40">
        <v>979.65</v>
      </c>
      <c r="J78" s="40">
        <v>914.35</v>
      </c>
      <c r="K78" s="40">
        <v>1278.2</v>
      </c>
      <c r="L78" s="40">
        <v>1072.95</v>
      </c>
      <c r="M78" s="40">
        <v>914.35</v>
      </c>
      <c r="N78" s="4">
        <f>N75*N77</f>
        <v>1352.85</v>
      </c>
      <c r="O78" s="4">
        <f>O75*O77+0.01</f>
        <v>1100.95</v>
      </c>
      <c r="P78" s="4">
        <f>P75*P77</f>
        <v>933</v>
      </c>
      <c r="Q78" s="4">
        <v>1073</v>
      </c>
      <c r="R78" s="4">
        <f>R75*R77+0.02</f>
        <v>989</v>
      </c>
      <c r="S78" s="4">
        <v>979.7</v>
      </c>
      <c r="T78" s="4">
        <v>1156.95</v>
      </c>
    </row>
    <row r="79" spans="1:20" ht="12.75">
      <c r="A79" s="1"/>
      <c r="B79" s="1"/>
      <c r="C79" s="1"/>
      <c r="D79" s="1"/>
      <c r="E79" s="32" t="s">
        <v>141</v>
      </c>
      <c r="H79" s="7">
        <f t="shared" si="29"/>
        <v>35</v>
      </c>
      <c r="I79" s="40">
        <v>3</v>
      </c>
      <c r="J79" s="40">
        <v>2</v>
      </c>
      <c r="K79" s="40">
        <v>3</v>
      </c>
      <c r="L79" s="40">
        <v>3</v>
      </c>
      <c r="M79" s="40">
        <v>3</v>
      </c>
      <c r="N79" s="4">
        <v>3</v>
      </c>
      <c r="O79" s="4">
        <v>3</v>
      </c>
      <c r="P79" s="4">
        <v>3</v>
      </c>
      <c r="Q79" s="4">
        <v>3</v>
      </c>
      <c r="R79" s="4">
        <v>3</v>
      </c>
      <c r="S79" s="4">
        <v>3</v>
      </c>
      <c r="T79" s="4">
        <v>3</v>
      </c>
    </row>
    <row r="80" spans="1:20" ht="12.75">
      <c r="A80" s="1"/>
      <c r="B80" s="1"/>
      <c r="C80" s="1"/>
      <c r="D80" s="1"/>
      <c r="E80" s="32" t="s">
        <v>142</v>
      </c>
      <c r="H80" s="7">
        <f t="shared" si="29"/>
        <v>660</v>
      </c>
      <c r="I80" s="40">
        <v>55</v>
      </c>
      <c r="J80" s="40">
        <v>55</v>
      </c>
      <c r="K80" s="40">
        <v>55</v>
      </c>
      <c r="L80" s="40">
        <v>55</v>
      </c>
      <c r="M80" s="40">
        <v>55</v>
      </c>
      <c r="N80" s="4">
        <v>55</v>
      </c>
      <c r="O80" s="4">
        <v>55</v>
      </c>
      <c r="P80" s="4">
        <v>55</v>
      </c>
      <c r="Q80" s="4">
        <v>55</v>
      </c>
      <c r="R80" s="4">
        <v>55</v>
      </c>
      <c r="S80" s="4">
        <v>55</v>
      </c>
      <c r="T80" s="4">
        <v>55</v>
      </c>
    </row>
    <row r="81" spans="1:20" ht="12.75">
      <c r="A81" s="1"/>
      <c r="B81" s="1"/>
      <c r="C81" s="1"/>
      <c r="D81" s="1"/>
      <c r="E81" s="32" t="s">
        <v>143</v>
      </c>
      <c r="H81" s="7">
        <f t="shared" si="29"/>
        <v>4</v>
      </c>
      <c r="I81" s="40"/>
      <c r="J81" s="40"/>
      <c r="K81" s="40">
        <v>1</v>
      </c>
      <c r="L81" s="40"/>
      <c r="M81" s="40"/>
      <c r="N81" s="4">
        <v>1</v>
      </c>
      <c r="O81" s="4"/>
      <c r="P81" s="4"/>
      <c r="Q81" s="4">
        <v>1</v>
      </c>
      <c r="R81" s="4"/>
      <c r="S81" s="4"/>
      <c r="T81" s="4">
        <v>1</v>
      </c>
    </row>
    <row r="82" spans="1:20" ht="12.75">
      <c r="A82" s="1"/>
      <c r="B82" s="1"/>
      <c r="C82" s="1"/>
      <c r="D82" s="1"/>
      <c r="E82" s="32" t="s">
        <v>144</v>
      </c>
      <c r="H82" s="7">
        <f t="shared" si="29"/>
        <v>152.4</v>
      </c>
      <c r="I82" s="40"/>
      <c r="J82" s="40"/>
      <c r="K82" s="40">
        <v>38.1</v>
      </c>
      <c r="L82" s="40"/>
      <c r="M82" s="40"/>
      <c r="N82" s="4">
        <v>38.1</v>
      </c>
      <c r="O82" s="4"/>
      <c r="P82" s="4"/>
      <c r="Q82" s="4">
        <v>38.1</v>
      </c>
      <c r="R82" s="4"/>
      <c r="S82" s="4"/>
      <c r="T82" s="4">
        <v>38.1</v>
      </c>
    </row>
    <row r="83" spans="1:20" ht="18">
      <c r="A83" s="1"/>
      <c r="B83" s="1"/>
      <c r="C83" s="1"/>
      <c r="D83" s="1"/>
      <c r="E83" s="33" t="s">
        <v>158</v>
      </c>
      <c r="F83" s="2"/>
      <c r="G83" s="2"/>
      <c r="H83" s="7">
        <f>H85/H84</f>
        <v>2.0499310740953476</v>
      </c>
      <c r="I83" s="38"/>
      <c r="J83" s="38"/>
      <c r="K83" s="38">
        <f>K85/K84</f>
        <v>2.0500000000000003</v>
      </c>
      <c r="L83" s="38" t="e">
        <f aca="true" t="shared" si="30" ref="L83:T83">L85/L84</f>
        <v>#DIV/0!</v>
      </c>
      <c r="M83" s="38" t="e">
        <f t="shared" si="30"/>
        <v>#DIV/0!</v>
      </c>
      <c r="N83" s="38">
        <f t="shared" si="30"/>
        <v>2.0500000000000003</v>
      </c>
      <c r="O83" s="38" t="e">
        <f t="shared" si="30"/>
        <v>#DIV/0!</v>
      </c>
      <c r="P83" s="38" t="e">
        <f t="shared" si="30"/>
        <v>#DIV/0!</v>
      </c>
      <c r="Q83" s="38">
        <f t="shared" si="30"/>
        <v>2.05</v>
      </c>
      <c r="R83" s="38" t="e">
        <f t="shared" si="30"/>
        <v>#DIV/0!</v>
      </c>
      <c r="S83" s="38" t="e">
        <f t="shared" si="30"/>
        <v>#DIV/0!</v>
      </c>
      <c r="T83" s="38">
        <f t="shared" si="30"/>
        <v>2.0497073170731706</v>
      </c>
    </row>
    <row r="84" spans="1:20" ht="12.75">
      <c r="A84" s="1"/>
      <c r="B84" s="1"/>
      <c r="C84" s="1"/>
      <c r="D84" s="1"/>
      <c r="E84" s="32" t="s">
        <v>80</v>
      </c>
      <c r="H84" s="7">
        <f t="shared" si="29"/>
        <v>1741</v>
      </c>
      <c r="I84" s="38"/>
      <c r="J84" s="38"/>
      <c r="K84" s="38">
        <v>442</v>
      </c>
      <c r="L84" s="38"/>
      <c r="M84" s="38"/>
      <c r="N84" s="13">
        <v>444</v>
      </c>
      <c r="O84" s="13"/>
      <c r="P84" s="13"/>
      <c r="Q84" s="38">
        <v>445</v>
      </c>
      <c r="R84" s="13"/>
      <c r="S84" s="13"/>
      <c r="T84" s="13">
        <v>410</v>
      </c>
    </row>
    <row r="85" spans="1:20" ht="12.75">
      <c r="A85" s="1"/>
      <c r="B85" s="1"/>
      <c r="C85" s="1"/>
      <c r="D85" s="1"/>
      <c r="E85" s="32" t="s">
        <v>81</v>
      </c>
      <c r="F85" s="22"/>
      <c r="G85" s="22"/>
      <c r="H85" s="7">
        <f t="shared" si="29"/>
        <v>3568.9300000000003</v>
      </c>
      <c r="I85" s="40">
        <f>I83*I84</f>
        <v>0</v>
      </c>
      <c r="J85" s="40">
        <f>J83*J84</f>
        <v>0</v>
      </c>
      <c r="K85" s="40">
        <v>906.1</v>
      </c>
      <c r="L85" s="40"/>
      <c r="M85" s="40"/>
      <c r="N85" s="4">
        <v>910.2</v>
      </c>
      <c r="O85" s="4"/>
      <c r="P85" s="4"/>
      <c r="Q85" s="40">
        <v>912.25</v>
      </c>
      <c r="R85" s="4"/>
      <c r="S85" s="4"/>
      <c r="T85" s="4">
        <v>840.38</v>
      </c>
    </row>
    <row r="86" spans="1:20" ht="12.75">
      <c r="A86" s="1"/>
      <c r="B86" s="1"/>
      <c r="C86" s="1"/>
      <c r="D86" s="1"/>
      <c r="E86" s="33" t="s">
        <v>137</v>
      </c>
      <c r="F86" s="22"/>
      <c r="G86" s="22"/>
      <c r="H86" s="7">
        <f t="shared" si="29"/>
        <v>0</v>
      </c>
      <c r="I86" s="38"/>
      <c r="J86" s="38"/>
      <c r="K86" s="38"/>
      <c r="L86" s="38"/>
      <c r="M86" s="38"/>
      <c r="N86" s="13"/>
      <c r="O86" s="13"/>
      <c r="P86" s="13"/>
      <c r="Q86" s="38"/>
      <c r="R86" s="13"/>
      <c r="S86" s="13"/>
      <c r="T86" s="13"/>
    </row>
    <row r="87" spans="1:20" ht="12.75">
      <c r="A87" s="1"/>
      <c r="B87" s="1"/>
      <c r="C87" s="1"/>
      <c r="D87" s="1"/>
      <c r="E87" s="32" t="s">
        <v>101</v>
      </c>
      <c r="F87" s="26"/>
      <c r="G87" s="26"/>
      <c r="H87" s="7">
        <f t="shared" si="29"/>
        <v>0</v>
      </c>
      <c r="I87" s="32"/>
      <c r="J87" s="32"/>
      <c r="K87" s="32"/>
      <c r="L87" s="32"/>
      <c r="M87" s="32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32" t="s">
        <v>81</v>
      </c>
      <c r="F88" s="26"/>
      <c r="G88" s="26"/>
      <c r="H88" s="7">
        <f t="shared" si="29"/>
        <v>0</v>
      </c>
      <c r="I88" s="40">
        <f>I86*I87</f>
        <v>0</v>
      </c>
      <c r="J88" s="40">
        <f>J86*J87</f>
        <v>0</v>
      </c>
      <c r="K88" s="40">
        <f>K86*K87</f>
        <v>0</v>
      </c>
      <c r="L88" s="40">
        <f>L86*L87</f>
        <v>0</v>
      </c>
      <c r="M88" s="40">
        <f aca="true" t="shared" si="31" ref="M88:T88">M86*M87</f>
        <v>0</v>
      </c>
      <c r="N88" s="4">
        <f t="shared" si="31"/>
        <v>0</v>
      </c>
      <c r="O88" s="4">
        <f t="shared" si="31"/>
        <v>0</v>
      </c>
      <c r="P88" s="4">
        <f t="shared" si="31"/>
        <v>0</v>
      </c>
      <c r="Q88" s="4">
        <f t="shared" si="31"/>
        <v>0</v>
      </c>
      <c r="R88" s="4">
        <f t="shared" si="31"/>
        <v>0</v>
      </c>
      <c r="S88" s="4">
        <f t="shared" si="31"/>
        <v>0</v>
      </c>
      <c r="T88" s="4">
        <f t="shared" si="31"/>
        <v>0</v>
      </c>
    </row>
    <row r="89" spans="6:9" ht="12.75">
      <c r="F89" s="26"/>
      <c r="G89" s="26" t="s">
        <v>83</v>
      </c>
      <c r="H89" s="7">
        <f t="shared" si="29"/>
        <v>0</v>
      </c>
      <c r="I89" s="44"/>
    </row>
    <row r="90" spans="1:20" ht="18">
      <c r="A90" s="1"/>
      <c r="B90" s="1"/>
      <c r="C90" s="1"/>
      <c r="D90" s="1"/>
      <c r="E90" s="2"/>
      <c r="H90" s="3">
        <f t="shared" si="29"/>
        <v>0</v>
      </c>
      <c r="I90" s="40" t="s">
        <v>89</v>
      </c>
      <c r="J90" s="40" t="s">
        <v>90</v>
      </c>
      <c r="K90" s="40" t="s">
        <v>91</v>
      </c>
      <c r="L90" s="45" t="s">
        <v>92</v>
      </c>
      <c r="M90" s="40" t="s">
        <v>93</v>
      </c>
      <c r="N90" s="4" t="s">
        <v>94</v>
      </c>
      <c r="O90" s="4" t="s">
        <v>95</v>
      </c>
      <c r="P90" s="5" t="s">
        <v>96</v>
      </c>
      <c r="Q90" s="4" t="s">
        <v>97</v>
      </c>
      <c r="R90" s="4" t="s">
        <v>98</v>
      </c>
      <c r="S90" s="4" t="s">
        <v>99</v>
      </c>
      <c r="T90" s="5" t="s">
        <v>100</v>
      </c>
    </row>
    <row r="91" spans="5:20" ht="12.75">
      <c r="E91" s="18" t="s">
        <v>157</v>
      </c>
      <c r="H91" s="21">
        <f t="shared" si="29"/>
        <v>1353.8400000000001</v>
      </c>
      <c r="I91" s="44">
        <f>SUM(I92:I97)</f>
        <v>263.61</v>
      </c>
      <c r="J91" s="44">
        <f>SUM(J92:J97)</f>
        <v>325.6500000000001</v>
      </c>
      <c r="K91" s="44">
        <f>SUM(K92:K97)</f>
        <v>216.69000000000003</v>
      </c>
      <c r="L91" s="44">
        <f>SUM(L92:L97)</f>
        <v>336.61</v>
      </c>
      <c r="M91" s="44">
        <f aca="true" t="shared" si="32" ref="M91:T91">SUM(M92:M97)</f>
        <v>105.61999999999999</v>
      </c>
      <c r="N91">
        <f t="shared" si="32"/>
        <v>105.66</v>
      </c>
      <c r="O91">
        <f t="shared" si="32"/>
        <v>0</v>
      </c>
      <c r="P91">
        <f t="shared" si="32"/>
        <v>0</v>
      </c>
      <c r="Q91">
        <f t="shared" si="32"/>
        <v>0</v>
      </c>
      <c r="R91">
        <f t="shared" si="32"/>
        <v>0</v>
      </c>
      <c r="S91">
        <f t="shared" si="32"/>
        <v>0</v>
      </c>
      <c r="T91">
        <f t="shared" si="32"/>
        <v>0</v>
      </c>
    </row>
    <row r="92" spans="1:13" s="25" customFormat="1" ht="12.75">
      <c r="A92" s="22"/>
      <c r="B92" s="22"/>
      <c r="C92" s="22"/>
      <c r="D92" s="22"/>
      <c r="E92" s="22" t="s">
        <v>85</v>
      </c>
      <c r="F92" s="18"/>
      <c r="G92" s="18"/>
      <c r="H92" s="23">
        <f t="shared" si="29"/>
        <v>0</v>
      </c>
      <c r="I92" s="49"/>
      <c r="J92" s="49"/>
      <c r="K92" s="49"/>
      <c r="L92" s="49"/>
      <c r="M92" s="49"/>
    </row>
    <row r="93" spans="1:13" s="25" customFormat="1" ht="12.75">
      <c r="A93" s="22"/>
      <c r="B93" s="22"/>
      <c r="C93" s="22"/>
      <c r="D93" s="22"/>
      <c r="E93" s="22" t="s">
        <v>86</v>
      </c>
      <c r="F93" s="18"/>
      <c r="G93" s="18"/>
      <c r="H93" s="23">
        <f t="shared" si="29"/>
        <v>0</v>
      </c>
      <c r="I93" s="49"/>
      <c r="J93" s="49"/>
      <c r="K93" s="49"/>
      <c r="L93" s="49"/>
      <c r="M93" s="49"/>
    </row>
    <row r="94" spans="1:14" s="25" customFormat="1" ht="12.75">
      <c r="A94" s="22"/>
      <c r="B94" s="22"/>
      <c r="C94" s="22"/>
      <c r="D94" s="22"/>
      <c r="E94" s="26" t="s">
        <v>107</v>
      </c>
      <c r="F94" s="18"/>
      <c r="G94" s="18"/>
      <c r="H94" s="23">
        <f t="shared" si="29"/>
        <v>598.42</v>
      </c>
      <c r="I94" s="49">
        <v>98.67</v>
      </c>
      <c r="J94" s="49">
        <v>99.09</v>
      </c>
      <c r="K94" s="49">
        <v>99.52</v>
      </c>
      <c r="L94" s="49">
        <v>99.95</v>
      </c>
      <c r="M94" s="49">
        <v>100.38</v>
      </c>
      <c r="N94" s="25">
        <v>100.81</v>
      </c>
    </row>
    <row r="95" spans="1:13" s="25" customFormat="1" ht="12.75">
      <c r="A95" s="22"/>
      <c r="B95" s="22"/>
      <c r="C95" s="22"/>
      <c r="D95" s="22"/>
      <c r="E95" s="26" t="s">
        <v>87</v>
      </c>
      <c r="F95" s="18"/>
      <c r="G95" s="18"/>
      <c r="H95" s="23">
        <f t="shared" si="29"/>
        <v>652.93</v>
      </c>
      <c r="I95" s="49">
        <f>36.07+122.07</f>
        <v>158.14</v>
      </c>
      <c r="J95" s="49">
        <f>33.36+143.25</f>
        <v>176.61</v>
      </c>
      <c r="K95" s="49">
        <f>80.65+6.5</f>
        <v>87.15</v>
      </c>
      <c r="L95" s="49">
        <f>70.13+160.9</f>
        <v>231.03</v>
      </c>
      <c r="M95" s="49"/>
    </row>
    <row r="96" spans="1:13" s="25" customFormat="1" ht="12.75">
      <c r="A96" s="22"/>
      <c r="B96" s="22"/>
      <c r="C96" s="22"/>
      <c r="D96" s="22"/>
      <c r="E96" s="26" t="s">
        <v>88</v>
      </c>
      <c r="F96" s="18"/>
      <c r="G96" s="18"/>
      <c r="H96" s="23">
        <f t="shared" si="29"/>
        <v>67.53999999999999</v>
      </c>
      <c r="I96" s="49"/>
      <c r="J96" s="49">
        <v>43.54</v>
      </c>
      <c r="K96" s="49">
        <f>7.33+16.67</f>
        <v>24</v>
      </c>
      <c r="L96" s="49"/>
      <c r="M96" s="49"/>
    </row>
    <row r="97" spans="5:20" ht="12.75">
      <c r="E97" s="26" t="s">
        <v>140</v>
      </c>
      <c r="I97" s="44">
        <v>6.8</v>
      </c>
      <c r="J97" s="44">
        <v>6.41</v>
      </c>
      <c r="K97" s="44">
        <v>6.02</v>
      </c>
      <c r="L97" s="44">
        <v>5.63</v>
      </c>
      <c r="M97" s="49">
        <v>5.24</v>
      </c>
      <c r="N97" s="25">
        <v>4.85</v>
      </c>
      <c r="O97" s="25"/>
      <c r="P97" s="25"/>
      <c r="Q97" s="25"/>
      <c r="R97" s="25"/>
      <c r="S97" s="25"/>
      <c r="T97" s="25"/>
    </row>
    <row r="98" spans="5:13" ht="12.75">
      <c r="E98" s="26" t="s">
        <v>145</v>
      </c>
      <c r="I98" s="44"/>
      <c r="M98" s="49"/>
    </row>
    <row r="99" ht="12.75">
      <c r="I99" s="44"/>
    </row>
    <row r="100" spans="5:9" ht="12.75">
      <c r="E100" s="26" t="s">
        <v>146</v>
      </c>
      <c r="I100" s="44"/>
    </row>
    <row r="101" spans="5:20" ht="12.75">
      <c r="E101" s="26" t="s">
        <v>147</v>
      </c>
      <c r="I101" s="44">
        <v>100</v>
      </c>
      <c r="J101" s="44">
        <v>100</v>
      </c>
      <c r="K101" s="44">
        <v>100</v>
      </c>
      <c r="L101" s="44">
        <v>100</v>
      </c>
      <c r="M101" s="44">
        <v>100</v>
      </c>
      <c r="N101" s="44">
        <v>100</v>
      </c>
      <c r="O101" s="44"/>
      <c r="P101" s="44"/>
      <c r="Q101" s="44"/>
      <c r="R101" s="44"/>
      <c r="S101" s="44"/>
      <c r="T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1"/>
  <headerFooter alignWithMargins="0">
    <oddHeader xml:space="preserve">&amp;C&amp;F  &amp;D&amp;RUuri Joogivesi &amp;A </oddHeader>
    <oddFooter>&amp;C&amp;F  &amp;D&amp;RUuri joogivesi tegevusala kood  &amp;A</oddFooter>
  </headerFooter>
  <rowBreaks count="1" manualBreakCount="1">
    <brk id="6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pane xSplit="8" ySplit="2" topLeftCell="R3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T8" sqref="T8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17" width="10.7109375" style="0" bestFit="1" customWidth="1"/>
    <col min="18" max="18" width="11.7109375" style="0" bestFit="1" customWidth="1"/>
    <col min="19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95</v>
      </c>
      <c r="P2" s="5" t="s">
        <v>96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2347.64</v>
      </c>
      <c r="G3" s="4">
        <f>G4+G8+G12</f>
        <v>57032.58</v>
      </c>
      <c r="H3" s="7">
        <f>SUM(I3:T3)</f>
        <v>163476.41999999998</v>
      </c>
      <c r="I3" s="40">
        <f>I4+I8+I12</f>
        <v>5474</v>
      </c>
      <c r="J3" s="40">
        <f>J4+J8+J12</f>
        <v>5474</v>
      </c>
      <c r="K3" s="40">
        <f>K4+K8+K12</f>
        <v>9628.05</v>
      </c>
      <c r="L3" s="40">
        <f>L4+L8+L12</f>
        <v>5474</v>
      </c>
      <c r="M3" s="40">
        <f aca="true" t="shared" si="0" ref="M3:T3">M4+M8+M12</f>
        <v>5588.4</v>
      </c>
      <c r="N3" s="4">
        <f t="shared" si="0"/>
        <v>12038.74</v>
      </c>
      <c r="O3" s="4">
        <f t="shared" si="0"/>
        <v>5651.95</v>
      </c>
      <c r="P3" s="4">
        <f t="shared" si="0"/>
        <v>16404.1</v>
      </c>
      <c r="Q3" s="4">
        <f t="shared" si="0"/>
        <v>25734.66</v>
      </c>
      <c r="R3" s="4">
        <f t="shared" si="0"/>
        <v>16365.85</v>
      </c>
      <c r="S3" s="4">
        <f t="shared" si="0"/>
        <v>16035.4</v>
      </c>
      <c r="T3" s="4">
        <f t="shared" si="0"/>
        <v>39607.270000000004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2347.64</v>
      </c>
      <c r="G4" s="4">
        <f>G5</f>
        <v>10805.97</v>
      </c>
      <c r="H4" s="7">
        <f aca="true" t="shared" si="1" ref="H4:H60">SUM(I4:T4)</f>
        <v>45108.42</v>
      </c>
      <c r="I4" s="40">
        <f>I5</f>
        <v>0</v>
      </c>
      <c r="J4" s="40">
        <f>J5</f>
        <v>0</v>
      </c>
      <c r="K4" s="40">
        <f>K5</f>
        <v>4154.05</v>
      </c>
      <c r="L4" s="40">
        <f>L5</f>
        <v>0</v>
      </c>
      <c r="M4" s="40">
        <f aca="true" t="shared" si="2" ref="M4:T4">M5</f>
        <v>114.4</v>
      </c>
      <c r="N4" s="4">
        <f t="shared" si="2"/>
        <v>6564.74</v>
      </c>
      <c r="O4" s="4">
        <f t="shared" si="2"/>
        <v>177.95</v>
      </c>
      <c r="P4" s="4">
        <f t="shared" si="2"/>
        <v>394.1</v>
      </c>
      <c r="Q4" s="4">
        <f t="shared" si="2"/>
        <v>9724.66</v>
      </c>
      <c r="R4" s="4">
        <f t="shared" si="2"/>
        <v>355.85</v>
      </c>
      <c r="S4" s="4">
        <f t="shared" si="2"/>
        <v>25.4</v>
      </c>
      <c r="T4" s="4">
        <f t="shared" si="2"/>
        <v>23597.27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2347.64</v>
      </c>
      <c r="G5" s="4">
        <f>G7</f>
        <v>10805.97</v>
      </c>
      <c r="H5" s="7">
        <f t="shared" si="1"/>
        <v>45108.42</v>
      </c>
      <c r="I5" s="40">
        <f>I7</f>
        <v>0</v>
      </c>
      <c r="J5" s="40">
        <f>J7</f>
        <v>0</v>
      </c>
      <c r="K5" s="40">
        <f>K7</f>
        <v>4154.05</v>
      </c>
      <c r="L5" s="40">
        <f>L7</f>
        <v>0</v>
      </c>
      <c r="M5" s="40">
        <f aca="true" t="shared" si="3" ref="M5:T5">M7</f>
        <v>114.4</v>
      </c>
      <c r="N5" s="4">
        <f t="shared" si="3"/>
        <v>6564.74</v>
      </c>
      <c r="O5" s="4">
        <f t="shared" si="3"/>
        <v>177.95</v>
      </c>
      <c r="P5" s="4">
        <f t="shared" si="3"/>
        <v>394.1</v>
      </c>
      <c r="Q5" s="4">
        <f t="shared" si="3"/>
        <v>9724.66</v>
      </c>
      <c r="R5" s="4">
        <f t="shared" si="3"/>
        <v>355.85</v>
      </c>
      <c r="S5" s="4">
        <f t="shared" si="3"/>
        <v>25.4</v>
      </c>
      <c r="T5" s="4">
        <f t="shared" si="3"/>
        <v>23597.27</v>
      </c>
    </row>
    <row r="6" spans="1:20" s="11" customFormat="1" ht="11.25">
      <c r="A6" s="8"/>
      <c r="B6" s="8"/>
      <c r="C6" s="8"/>
      <c r="D6" s="8"/>
      <c r="E6" s="8" t="s">
        <v>135</v>
      </c>
      <c r="F6" s="9">
        <v>247</v>
      </c>
      <c r="G6" s="9">
        <v>513</v>
      </c>
      <c r="H6" s="10">
        <f t="shared" si="1"/>
        <v>1178</v>
      </c>
      <c r="I6" s="41">
        <f>I77</f>
        <v>0</v>
      </c>
      <c r="J6" s="41">
        <f>J77</f>
        <v>0</v>
      </c>
      <c r="K6" s="41">
        <f aca="true" t="shared" si="4" ref="K6:T6">K77</f>
        <v>122</v>
      </c>
      <c r="L6" s="41">
        <f t="shared" si="4"/>
        <v>0</v>
      </c>
      <c r="M6" s="41">
        <f t="shared" si="4"/>
        <v>9</v>
      </c>
      <c r="N6" s="41">
        <f t="shared" si="4"/>
        <v>305</v>
      </c>
      <c r="O6" s="41">
        <f t="shared" si="4"/>
        <v>14</v>
      </c>
      <c r="P6" s="41">
        <f t="shared" si="4"/>
        <v>31</v>
      </c>
      <c r="Q6" s="41">
        <f t="shared" si="4"/>
        <v>492</v>
      </c>
      <c r="R6" s="41">
        <f t="shared" si="4"/>
        <v>28</v>
      </c>
      <c r="S6" s="41">
        <f t="shared" si="4"/>
        <v>2</v>
      </c>
      <c r="T6" s="41">
        <f t="shared" si="4"/>
        <v>175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2347.64</v>
      </c>
      <c r="G7" s="13">
        <v>10805.97</v>
      </c>
      <c r="H7" s="10">
        <f t="shared" si="1"/>
        <v>45108.42</v>
      </c>
      <c r="I7" s="38"/>
      <c r="J7" s="38"/>
      <c r="K7" s="13">
        <f aca="true" t="shared" si="5" ref="K7:P7">K78+K80+K82</f>
        <v>4154.05</v>
      </c>
      <c r="L7" s="13">
        <f t="shared" si="5"/>
        <v>0</v>
      </c>
      <c r="M7" s="13">
        <f t="shared" si="5"/>
        <v>114.4</v>
      </c>
      <c r="N7" s="13">
        <f t="shared" si="5"/>
        <v>6564.74</v>
      </c>
      <c r="O7" s="13">
        <f t="shared" si="5"/>
        <v>177.95</v>
      </c>
      <c r="P7" s="13">
        <f t="shared" si="5"/>
        <v>394.1</v>
      </c>
      <c r="Q7" s="13">
        <v>9724.66</v>
      </c>
      <c r="R7" s="13">
        <f>R78+R80+R82</f>
        <v>355.85</v>
      </c>
      <c r="S7" s="13">
        <v>25.4</v>
      </c>
      <c r="T7" s="13">
        <v>23597.27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46226.61</v>
      </c>
      <c r="H8" s="7">
        <f t="shared" si="1"/>
        <v>118368</v>
      </c>
      <c r="I8" s="40">
        <f>I9+I11</f>
        <v>5474</v>
      </c>
      <c r="J8" s="40">
        <f>J9+J11</f>
        <v>5474</v>
      </c>
      <c r="K8" s="40">
        <f>K9+K11</f>
        <v>5474</v>
      </c>
      <c r="L8" s="40">
        <f>L9+L11</f>
        <v>5474</v>
      </c>
      <c r="M8" s="40">
        <f aca="true" t="shared" si="6" ref="M8:T8">M9+M11</f>
        <v>5474</v>
      </c>
      <c r="N8" s="4">
        <f t="shared" si="6"/>
        <v>5474</v>
      </c>
      <c r="O8" s="4">
        <f t="shared" si="6"/>
        <v>5474</v>
      </c>
      <c r="P8" s="4">
        <f t="shared" si="6"/>
        <v>16010</v>
      </c>
      <c r="Q8" s="4">
        <f t="shared" si="6"/>
        <v>16010</v>
      </c>
      <c r="R8" s="4">
        <f t="shared" si="6"/>
        <v>16010</v>
      </c>
      <c r="S8" s="4">
        <f t="shared" si="6"/>
        <v>16010</v>
      </c>
      <c r="T8" s="4">
        <f t="shared" si="6"/>
        <v>16010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7909.61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7" ref="M9:T9">M10</f>
        <v>0</v>
      </c>
      <c r="N9" s="4">
        <f t="shared" si="7"/>
        <v>0</v>
      </c>
      <c r="O9" s="4">
        <f t="shared" si="7"/>
        <v>0</v>
      </c>
      <c r="P9" s="4">
        <f t="shared" si="7"/>
        <v>0</v>
      </c>
      <c r="Q9" s="4">
        <f t="shared" si="7"/>
        <v>0</v>
      </c>
      <c r="R9" s="4">
        <f t="shared" si="7"/>
        <v>0</v>
      </c>
      <c r="S9" s="4">
        <f t="shared" si="7"/>
        <v>0</v>
      </c>
      <c r="T9" s="4">
        <f t="shared" si="7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/>
      <c r="G10" s="13">
        <v>7909.61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>
        <v>0</v>
      </c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38317</v>
      </c>
      <c r="H11" s="7">
        <f t="shared" si="1"/>
        <v>118368</v>
      </c>
      <c r="I11" s="40">
        <v>5474</v>
      </c>
      <c r="J11" s="40">
        <v>5474</v>
      </c>
      <c r="K11" s="40">
        <v>5474</v>
      </c>
      <c r="L11" s="40">
        <v>5474</v>
      </c>
      <c r="M11" s="40">
        <v>5474</v>
      </c>
      <c r="N11" s="40">
        <v>5474</v>
      </c>
      <c r="O11" s="40">
        <v>5474</v>
      </c>
      <c r="P11" s="40">
        <v>16010</v>
      </c>
      <c r="Q11" s="40">
        <v>16010</v>
      </c>
      <c r="R11" s="40">
        <v>16010</v>
      </c>
      <c r="S11" s="40">
        <v>16010</v>
      </c>
      <c r="T11" s="40">
        <v>16010</v>
      </c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8" ref="I12:T13">I13</f>
        <v>0</v>
      </c>
      <c r="J12" s="40">
        <f t="shared" si="8"/>
        <v>0</v>
      </c>
      <c r="K12" s="40">
        <f t="shared" si="8"/>
        <v>0</v>
      </c>
      <c r="L12" s="40">
        <f t="shared" si="8"/>
        <v>0</v>
      </c>
      <c r="M12" s="40">
        <f t="shared" si="8"/>
        <v>0</v>
      </c>
      <c r="N12" s="4">
        <f t="shared" si="8"/>
        <v>0</v>
      </c>
      <c r="O12" s="4">
        <f t="shared" si="8"/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 t="shared" si="8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8"/>
        <v>0</v>
      </c>
      <c r="J13" s="40">
        <f t="shared" si="8"/>
        <v>0</v>
      </c>
      <c r="K13" s="40">
        <f t="shared" si="8"/>
        <v>0</v>
      </c>
      <c r="L13" s="40">
        <f t="shared" si="8"/>
        <v>0</v>
      </c>
      <c r="M13" s="40">
        <f t="shared" si="8"/>
        <v>0</v>
      </c>
      <c r="N13" s="4">
        <f t="shared" si="8"/>
        <v>0</v>
      </c>
      <c r="O13" s="4">
        <f t="shared" si="8"/>
        <v>0</v>
      </c>
      <c r="P13" s="4">
        <f t="shared" si="8"/>
        <v>0</v>
      </c>
      <c r="Q13" s="4">
        <f t="shared" si="8"/>
        <v>0</v>
      </c>
      <c r="R13" s="4">
        <f t="shared" si="8"/>
        <v>0</v>
      </c>
      <c r="S13" s="4">
        <f t="shared" si="8"/>
        <v>0</v>
      </c>
      <c r="T13" s="4">
        <f t="shared" si="8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9" ref="I15:T16">I16</f>
        <v>0</v>
      </c>
      <c r="J15" s="40">
        <f t="shared" si="9"/>
        <v>0</v>
      </c>
      <c r="K15" s="40">
        <f t="shared" si="9"/>
        <v>0</v>
      </c>
      <c r="L15" s="40">
        <f t="shared" si="9"/>
        <v>0</v>
      </c>
      <c r="M15" s="40">
        <f t="shared" si="9"/>
        <v>0</v>
      </c>
      <c r="N15" s="4">
        <f t="shared" si="9"/>
        <v>0</v>
      </c>
      <c r="O15" s="4">
        <f t="shared" si="9"/>
        <v>0</v>
      </c>
      <c r="P15" s="4">
        <f t="shared" si="9"/>
        <v>0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4">
        <f t="shared" si="9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9"/>
        <v>0</v>
      </c>
      <c r="J16" s="40">
        <f t="shared" si="9"/>
        <v>0</v>
      </c>
      <c r="K16" s="40">
        <f t="shared" si="9"/>
        <v>0</v>
      </c>
      <c r="L16" s="40">
        <f t="shared" si="9"/>
        <v>0</v>
      </c>
      <c r="M16" s="40">
        <f t="shared" si="9"/>
        <v>0</v>
      </c>
      <c r="N16" s="4">
        <f t="shared" si="9"/>
        <v>0</v>
      </c>
      <c r="O16" s="4">
        <f t="shared" si="9"/>
        <v>0</v>
      </c>
      <c r="P16" s="4">
        <f t="shared" si="9"/>
        <v>0</v>
      </c>
      <c r="Q16" s="4">
        <f t="shared" si="9"/>
        <v>0</v>
      </c>
      <c r="R16" s="4">
        <f t="shared" si="9"/>
        <v>0</v>
      </c>
      <c r="S16" s="4">
        <f t="shared" si="9"/>
        <v>0</v>
      </c>
      <c r="T16" s="4">
        <f t="shared" si="9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-21853.6</v>
      </c>
      <c r="G18" s="4">
        <f>G19+G27</f>
        <v>-9321.76</v>
      </c>
      <c r="H18" s="7">
        <f t="shared" si="1"/>
        <v>-19339.320000000003</v>
      </c>
      <c r="I18" s="40">
        <f>I19+I27</f>
        <v>-1138.18</v>
      </c>
      <c r="J18" s="40">
        <f>J19+J27</f>
        <v>-1166.58</v>
      </c>
      <c r="K18" s="40">
        <f>K19+K27</f>
        <v>-2079.8900000000003</v>
      </c>
      <c r="L18" s="40">
        <f>L19+L27</f>
        <v>-204.96</v>
      </c>
      <c r="M18" s="40">
        <f aca="true" t="shared" si="10" ref="M18:T18">M19+M27</f>
        <v>-1240.08</v>
      </c>
      <c r="N18" s="4">
        <f t="shared" si="10"/>
        <v>-2558.62</v>
      </c>
      <c r="O18" s="4">
        <f t="shared" si="10"/>
        <v>-713.1</v>
      </c>
      <c r="P18" s="4">
        <f t="shared" si="10"/>
        <v>-20.45</v>
      </c>
      <c r="Q18" s="4">
        <f t="shared" si="10"/>
        <v>-4546.22</v>
      </c>
      <c r="R18" s="4">
        <f t="shared" si="10"/>
        <v>-2130.5</v>
      </c>
      <c r="S18" s="4">
        <f t="shared" si="10"/>
        <v>-1880.97</v>
      </c>
      <c r="T18" s="4">
        <f t="shared" si="10"/>
        <v>-1659.77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0</v>
      </c>
      <c r="G19" s="4">
        <f>G20+G26+G23</f>
        <v>0</v>
      </c>
      <c r="H19" s="7">
        <f t="shared" si="1"/>
        <v>0</v>
      </c>
      <c r="I19" s="40">
        <f>I20+I26+I23</f>
        <v>0</v>
      </c>
      <c r="J19" s="40">
        <f>J20+J26+J23</f>
        <v>0</v>
      </c>
      <c r="K19" s="40">
        <f>K20+K26+K23</f>
        <v>0</v>
      </c>
      <c r="L19" s="40">
        <f>L20+L26+L23</f>
        <v>0</v>
      </c>
      <c r="M19" s="40">
        <f aca="true" t="shared" si="11" ref="M19:T19">M20+M26+M23</f>
        <v>0</v>
      </c>
      <c r="N19" s="4">
        <f t="shared" si="11"/>
        <v>0</v>
      </c>
      <c r="O19" s="4">
        <f t="shared" si="11"/>
        <v>0</v>
      </c>
      <c r="P19" s="4">
        <f t="shared" si="11"/>
        <v>0</v>
      </c>
      <c r="Q19" s="4">
        <f t="shared" si="11"/>
        <v>0</v>
      </c>
      <c r="R19" s="4">
        <f t="shared" si="11"/>
        <v>0</v>
      </c>
      <c r="S19" s="4">
        <f t="shared" si="11"/>
        <v>0</v>
      </c>
      <c r="T19" s="4">
        <f t="shared" si="11"/>
        <v>0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0</v>
      </c>
      <c r="G20" s="4">
        <f>SUM(G21:G22)</f>
        <v>0</v>
      </c>
      <c r="H20" s="7">
        <f t="shared" si="1"/>
        <v>0</v>
      </c>
      <c r="I20" s="40">
        <f>SUM(I21:I22)</f>
        <v>0</v>
      </c>
      <c r="J20" s="40">
        <f>SUM(J21:J22)</f>
        <v>0</v>
      </c>
      <c r="K20" s="40">
        <f>SUM(K21:K22)</f>
        <v>0</v>
      </c>
      <c r="L20" s="40">
        <f>SUM(L21:L22)</f>
        <v>0</v>
      </c>
      <c r="M20" s="40">
        <f aca="true" t="shared" si="12" ref="M20:T20">SUM(M21:M22)</f>
        <v>0</v>
      </c>
      <c r="N20" s="4">
        <f t="shared" si="12"/>
        <v>0</v>
      </c>
      <c r="O20" s="4">
        <f t="shared" si="12"/>
        <v>0</v>
      </c>
      <c r="P20" s="4">
        <f t="shared" si="12"/>
        <v>0</v>
      </c>
      <c r="Q20" s="4">
        <f t="shared" si="12"/>
        <v>0</v>
      </c>
      <c r="R20" s="4">
        <f t="shared" si="12"/>
        <v>0</v>
      </c>
      <c r="S20" s="4">
        <f t="shared" si="12"/>
        <v>0</v>
      </c>
      <c r="T20" s="4">
        <f t="shared" si="12"/>
        <v>0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/>
      <c r="G21" s="13"/>
      <c r="H21" s="10">
        <f t="shared" si="1"/>
        <v>0</v>
      </c>
      <c r="I21" s="38"/>
      <c r="J21" s="38"/>
      <c r="K21" s="38"/>
      <c r="L21" s="38"/>
      <c r="M21" s="38"/>
      <c r="N21" s="13">
        <f>N62*-1</f>
        <v>0</v>
      </c>
      <c r="O21" s="13">
        <f aca="true" t="shared" si="13" ref="O21:T21">O62*-1</f>
        <v>0</v>
      </c>
      <c r="P21" s="13">
        <f t="shared" si="13"/>
        <v>0</v>
      </c>
      <c r="Q21" s="13">
        <f t="shared" si="13"/>
        <v>0</v>
      </c>
      <c r="R21" s="13">
        <f t="shared" si="13"/>
        <v>0</v>
      </c>
      <c r="S21" s="13">
        <f t="shared" si="13"/>
        <v>0</v>
      </c>
      <c r="T21" s="13">
        <f t="shared" si="13"/>
        <v>0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4" ref="M23:T23">SUM(M24:M25)</f>
        <v>0</v>
      </c>
      <c r="N23" s="15">
        <f t="shared" si="14"/>
        <v>0</v>
      </c>
      <c r="O23" s="15">
        <f t="shared" si="14"/>
        <v>0</v>
      </c>
      <c r="P23" s="15">
        <f t="shared" si="14"/>
        <v>0</v>
      </c>
      <c r="Q23" s="15">
        <f t="shared" si="14"/>
        <v>0</v>
      </c>
      <c r="R23" s="15">
        <f t="shared" si="14"/>
        <v>0</v>
      </c>
      <c r="S23" s="15">
        <f t="shared" si="14"/>
        <v>0</v>
      </c>
      <c r="T23" s="15">
        <f t="shared" si="14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/>
      <c r="G26" s="4"/>
      <c r="H26" s="7">
        <f t="shared" si="1"/>
        <v>0</v>
      </c>
      <c r="I26" s="40"/>
      <c r="J26" s="40"/>
      <c r="K26" s="40"/>
      <c r="L26" s="40"/>
      <c r="M26" s="40"/>
      <c r="N26" s="4">
        <f aca="true" t="shared" si="15" ref="N26:T26">(N72+N73)*-1</f>
        <v>0</v>
      </c>
      <c r="O26" s="4">
        <f t="shared" si="15"/>
        <v>0</v>
      </c>
      <c r="P26" s="4">
        <f t="shared" si="15"/>
        <v>0</v>
      </c>
      <c r="Q26" s="4">
        <f t="shared" si="15"/>
        <v>0</v>
      </c>
      <c r="R26" s="4">
        <f t="shared" si="15"/>
        <v>0</v>
      </c>
      <c r="S26" s="4">
        <f t="shared" si="15"/>
        <v>0</v>
      </c>
      <c r="T26" s="4">
        <f t="shared" si="15"/>
        <v>0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-21853.6</v>
      </c>
      <c r="G27" s="4">
        <f>SUM(G28:G41)</f>
        <v>-9321.76</v>
      </c>
      <c r="H27" s="7">
        <f t="shared" si="1"/>
        <v>-19339.320000000003</v>
      </c>
      <c r="I27" s="40">
        <f>SUM(I28:I41)</f>
        <v>-1138.18</v>
      </c>
      <c r="J27" s="40">
        <f aca="true" t="shared" si="16" ref="J27:T27">SUM(J28:J41)</f>
        <v>-1166.58</v>
      </c>
      <c r="K27" s="40">
        <f t="shared" si="16"/>
        <v>-2079.8900000000003</v>
      </c>
      <c r="L27" s="40">
        <f t="shared" si="16"/>
        <v>-204.96</v>
      </c>
      <c r="M27" s="40">
        <f t="shared" si="16"/>
        <v>-1240.08</v>
      </c>
      <c r="N27" s="4">
        <f t="shared" si="16"/>
        <v>-2558.62</v>
      </c>
      <c r="O27" s="4">
        <f t="shared" si="16"/>
        <v>-713.1</v>
      </c>
      <c r="P27" s="4">
        <f t="shared" si="16"/>
        <v>-20.45</v>
      </c>
      <c r="Q27" s="4">
        <f t="shared" si="16"/>
        <v>-4546.22</v>
      </c>
      <c r="R27" s="4">
        <f t="shared" si="16"/>
        <v>-2130.5</v>
      </c>
      <c r="S27" s="4">
        <f t="shared" si="16"/>
        <v>-1880.97</v>
      </c>
      <c r="T27" s="4">
        <f t="shared" si="16"/>
        <v>-1659.77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/>
      <c r="G28" s="13">
        <v>-5330.18</v>
      </c>
      <c r="H28" s="10">
        <f t="shared" si="1"/>
        <v>-3630.8600000000006</v>
      </c>
      <c r="I28" s="38"/>
      <c r="J28" s="38"/>
      <c r="K28" s="38">
        <v>-854</v>
      </c>
      <c r="L28" s="38"/>
      <c r="M28" s="38">
        <v>-856.26</v>
      </c>
      <c r="N28" s="13"/>
      <c r="O28" s="13">
        <v>-78.95</v>
      </c>
      <c r="P28" s="13">
        <v>-20.45</v>
      </c>
      <c r="Q28" s="13">
        <v>-867.8</v>
      </c>
      <c r="R28" s="13">
        <v>-887.8</v>
      </c>
      <c r="S28" s="13">
        <v>-42.3</v>
      </c>
      <c r="T28" s="13">
        <v>-23.3</v>
      </c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-21853.6</v>
      </c>
      <c r="G30" s="13">
        <v>-331.35</v>
      </c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/>
      <c r="G31" s="13">
        <v>-3660.23</v>
      </c>
      <c r="H31" s="10">
        <f t="shared" si="1"/>
        <v>-14988.46</v>
      </c>
      <c r="I31" s="38">
        <v>-1138.18</v>
      </c>
      <c r="J31" s="38">
        <v>-1166.58</v>
      </c>
      <c r="K31" s="38">
        <v>-1225.89</v>
      </c>
      <c r="L31" s="38">
        <v>-204.96</v>
      </c>
      <c r="M31" s="38">
        <v>-383.82</v>
      </c>
      <c r="N31" s="13">
        <v>-2558.62</v>
      </c>
      <c r="O31" s="13">
        <v>-634.15</v>
      </c>
      <c r="P31" s="13"/>
      <c r="Q31" s="13">
        <v>-3678.42</v>
      </c>
      <c r="R31" s="13">
        <v>-1242.7</v>
      </c>
      <c r="S31" s="13">
        <v>-1238.67</v>
      </c>
      <c r="T31" s="13">
        <v>-1516.47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/>
      <c r="G32" s="13"/>
      <c r="H32" s="10">
        <f t="shared" si="1"/>
        <v>0</v>
      </c>
      <c r="I32" s="38"/>
      <c r="J32" s="38"/>
      <c r="K32" s="38"/>
      <c r="L32" s="38"/>
      <c r="M32" s="38"/>
      <c r="N32" s="13"/>
      <c r="O32" s="13"/>
      <c r="P32" s="13"/>
      <c r="Q32" s="13"/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/>
      <c r="G34" s="13"/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/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/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/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/>
      <c r="G38" s="13"/>
      <c r="H38" s="10">
        <f t="shared" si="1"/>
        <v>0</v>
      </c>
      <c r="I38" s="38"/>
      <c r="J38" s="38"/>
      <c r="K38" s="38"/>
      <c r="L38" s="38"/>
      <c r="M38" s="38"/>
      <c r="N38" s="13"/>
      <c r="O38" s="13"/>
      <c r="P38" s="13"/>
      <c r="Q38" s="13"/>
      <c r="R38" s="13"/>
      <c r="S38" s="13"/>
      <c r="T38" s="13"/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/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/>
      <c r="G40" s="13"/>
      <c r="H40" s="10">
        <f t="shared" si="1"/>
        <v>-720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>
        <v>-600</v>
      </c>
      <c r="T40" s="13">
        <v>-120</v>
      </c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-3500</v>
      </c>
      <c r="G42" s="4">
        <f>G43+G48+G55+G58</f>
        <v>-96839.76</v>
      </c>
      <c r="H42" s="4">
        <f t="shared" si="1"/>
        <v>-209019.78</v>
      </c>
      <c r="I42" s="40">
        <f aca="true" t="shared" si="17" ref="I42:T42">I43+I48+I55+I58</f>
        <v>-10730.72</v>
      </c>
      <c r="J42" s="40">
        <f t="shared" si="17"/>
        <v>-10700.28</v>
      </c>
      <c r="K42" s="40">
        <f t="shared" si="17"/>
        <v>-10404.59</v>
      </c>
      <c r="L42" s="40">
        <f t="shared" si="17"/>
        <v>-10526.66</v>
      </c>
      <c r="M42" s="40">
        <f t="shared" si="17"/>
        <v>-10494.08</v>
      </c>
      <c r="N42" s="4">
        <f t="shared" si="17"/>
        <v>-10463.7</v>
      </c>
      <c r="O42" s="4">
        <f t="shared" si="17"/>
        <v>-10896.19</v>
      </c>
      <c r="P42" s="4">
        <f t="shared" si="17"/>
        <v>-26606.15</v>
      </c>
      <c r="Q42" s="4">
        <f t="shared" si="17"/>
        <v>-27001.64</v>
      </c>
      <c r="R42" s="4">
        <f>R43+R48+R55+R58</f>
        <v>-27112.010000000002</v>
      </c>
      <c r="S42" s="4">
        <f t="shared" si="17"/>
        <v>-26932.92</v>
      </c>
      <c r="T42" s="4">
        <f t="shared" si="17"/>
        <v>-27150.84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0</v>
      </c>
      <c r="G43" s="4">
        <f>G44+G46+G47</f>
        <v>-4603.88</v>
      </c>
      <c r="H43" s="7">
        <f t="shared" si="1"/>
        <v>-537.37</v>
      </c>
      <c r="I43" s="40">
        <f aca="true" t="shared" si="18" ref="I43:T43">I44+I46+I47</f>
        <v>0</v>
      </c>
      <c r="J43" s="40">
        <f t="shared" si="18"/>
        <v>0</v>
      </c>
      <c r="K43" s="40">
        <f t="shared" si="18"/>
        <v>-72</v>
      </c>
      <c r="L43" s="40">
        <f t="shared" si="18"/>
        <v>0</v>
      </c>
      <c r="M43" s="40">
        <f t="shared" si="18"/>
        <v>-72</v>
      </c>
      <c r="N43" s="4">
        <f t="shared" si="18"/>
        <v>0</v>
      </c>
      <c r="O43" s="4">
        <f t="shared" si="18"/>
        <v>0</v>
      </c>
      <c r="P43" s="4">
        <f t="shared" si="18"/>
        <v>0</v>
      </c>
      <c r="Q43" s="4">
        <f t="shared" si="18"/>
        <v>0</v>
      </c>
      <c r="R43" s="4">
        <f t="shared" si="18"/>
        <v>-144</v>
      </c>
      <c r="S43" s="4">
        <f t="shared" si="18"/>
        <v>0</v>
      </c>
      <c r="T43" s="4">
        <f t="shared" si="18"/>
        <v>-249.37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0</v>
      </c>
      <c r="G44" s="4">
        <f>G45</f>
        <v>-4603.88</v>
      </c>
      <c r="H44" s="7">
        <f t="shared" si="1"/>
        <v>-288</v>
      </c>
      <c r="I44" s="40">
        <f>I45</f>
        <v>0</v>
      </c>
      <c r="J44" s="40">
        <f>J45</f>
        <v>0</v>
      </c>
      <c r="K44" s="40">
        <f>K45</f>
        <v>-72</v>
      </c>
      <c r="L44" s="40">
        <f>L45</f>
        <v>0</v>
      </c>
      <c r="M44" s="40">
        <f aca="true" t="shared" si="19" ref="M44:T44">M45</f>
        <v>-72</v>
      </c>
      <c r="N44" s="4">
        <f t="shared" si="19"/>
        <v>0</v>
      </c>
      <c r="O44" s="4">
        <f t="shared" si="19"/>
        <v>0</v>
      </c>
      <c r="P44" s="4">
        <f t="shared" si="19"/>
        <v>0</v>
      </c>
      <c r="Q44" s="4">
        <f t="shared" si="19"/>
        <v>0</v>
      </c>
      <c r="R44" s="4">
        <f t="shared" si="19"/>
        <v>-144</v>
      </c>
      <c r="S44" s="4">
        <f t="shared" si="19"/>
        <v>0</v>
      </c>
      <c r="T44" s="4">
        <f t="shared" si="19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/>
      <c r="G45" s="13">
        <v>-4603.88</v>
      </c>
      <c r="H45" s="10">
        <f t="shared" si="1"/>
        <v>-288</v>
      </c>
      <c r="I45" s="38"/>
      <c r="J45" s="38"/>
      <c r="K45" s="38">
        <v>-72</v>
      </c>
      <c r="L45" s="38"/>
      <c r="M45" s="38">
        <v>-72</v>
      </c>
      <c r="N45" s="13"/>
      <c r="O45" s="13"/>
      <c r="P45" s="13"/>
      <c r="Q45" s="13"/>
      <c r="R45" s="13">
        <v>-144</v>
      </c>
      <c r="S45" s="13">
        <v>0</v>
      </c>
      <c r="T45" s="13">
        <v>0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/>
      <c r="G46" s="15"/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-249.37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>
        <v>-249.37</v>
      </c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-2000</v>
      </c>
      <c r="G48" s="4">
        <f>G54+G49</f>
        <v>-57603</v>
      </c>
      <c r="H48" s="7">
        <f t="shared" si="1"/>
        <v>-170827</v>
      </c>
      <c r="I48" s="40">
        <f>I54+I49</f>
        <v>-8228</v>
      </c>
      <c r="J48" s="40">
        <f>J54+J49</f>
        <v>-8230</v>
      </c>
      <c r="K48" s="40">
        <f>K54+K49</f>
        <v>-8228</v>
      </c>
      <c r="L48" s="40">
        <f>L54+L49</f>
        <v>-8229</v>
      </c>
      <c r="M48" s="40">
        <f aca="true" t="shared" si="20" ref="M48:T48">M54+M49</f>
        <v>-8229</v>
      </c>
      <c r="N48" s="4">
        <f t="shared" si="20"/>
        <v>-8229</v>
      </c>
      <c r="O48" s="4">
        <f t="shared" si="20"/>
        <v>-8228</v>
      </c>
      <c r="P48" s="4">
        <f t="shared" si="20"/>
        <v>-22647</v>
      </c>
      <c r="Q48" s="4">
        <f t="shared" si="20"/>
        <v>-22644</v>
      </c>
      <c r="R48" s="4">
        <f t="shared" si="20"/>
        <v>-22646</v>
      </c>
      <c r="S48" s="4">
        <f t="shared" si="20"/>
        <v>-22643</v>
      </c>
      <c r="T48" s="4">
        <f t="shared" si="20"/>
        <v>-22646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-2000</v>
      </c>
      <c r="G49" s="4">
        <f>SUM(G50:G53)</f>
        <v>-57603</v>
      </c>
      <c r="H49" s="7">
        <f t="shared" si="1"/>
        <v>-170827</v>
      </c>
      <c r="I49" s="40">
        <f>SUM(I50:I53)</f>
        <v>-8228</v>
      </c>
      <c r="J49" s="40">
        <f>SUM(J50:J53)</f>
        <v>-8230</v>
      </c>
      <c r="K49" s="40">
        <f>SUM(K50:K53)</f>
        <v>-8228</v>
      </c>
      <c r="L49" s="40">
        <f>SUM(L50:L53)</f>
        <v>-8229</v>
      </c>
      <c r="M49" s="40">
        <f aca="true" t="shared" si="21" ref="M49:T49">SUM(M50:M53)</f>
        <v>-8229</v>
      </c>
      <c r="N49" s="4">
        <f t="shared" si="21"/>
        <v>-8229</v>
      </c>
      <c r="O49" s="4">
        <f t="shared" si="21"/>
        <v>-8228</v>
      </c>
      <c r="P49" s="4">
        <f t="shared" si="21"/>
        <v>-22647</v>
      </c>
      <c r="Q49" s="4">
        <f t="shared" si="21"/>
        <v>-22644</v>
      </c>
      <c r="R49" s="4">
        <f t="shared" si="21"/>
        <v>-22646</v>
      </c>
      <c r="S49" s="4">
        <f t="shared" si="21"/>
        <v>-22643</v>
      </c>
      <c r="T49" s="4">
        <f t="shared" si="21"/>
        <v>-22646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/>
      <c r="G50" s="13">
        <v>-57603</v>
      </c>
      <c r="H50" s="10">
        <f t="shared" si="1"/>
        <v>-170827</v>
      </c>
      <c r="I50" s="38">
        <v>-8228</v>
      </c>
      <c r="J50" s="38">
        <v>-8230</v>
      </c>
      <c r="K50" s="38">
        <v>-8228</v>
      </c>
      <c r="L50" s="38">
        <v>-8229</v>
      </c>
      <c r="M50" s="38">
        <v>-8229</v>
      </c>
      <c r="N50" s="13">
        <v>-8229</v>
      </c>
      <c r="O50" s="13">
        <v>-8228</v>
      </c>
      <c r="P50" s="13">
        <v>-22647</v>
      </c>
      <c r="Q50" s="13">
        <v>-22644</v>
      </c>
      <c r="R50" s="13">
        <v>-22646</v>
      </c>
      <c r="S50" s="13">
        <v>-22643</v>
      </c>
      <c r="T50" s="13">
        <v>-22646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>
        <v>-2000</v>
      </c>
      <c r="G51" s="13"/>
      <c r="H51" s="10">
        <f>SUM(I51:T51)</f>
        <v>0</v>
      </c>
      <c r="I51" s="38"/>
      <c r="J51" s="38"/>
      <c r="K51" s="38"/>
      <c r="L51" s="38"/>
      <c r="M51" s="38"/>
      <c r="N51" s="13"/>
      <c r="O51" s="13"/>
      <c r="P51" s="13"/>
      <c r="Q51" s="13"/>
      <c r="R51" s="13"/>
      <c r="S51" s="13"/>
      <c r="T51" s="13"/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"/>
      <c r="P52" s="1"/>
      <c r="Q52" s="1"/>
      <c r="R52" s="1"/>
      <c r="S52" s="1"/>
      <c r="T52" s="1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-1500</v>
      </c>
      <c r="G55" s="4">
        <f>G57+G56</f>
        <v>-34632.88</v>
      </c>
      <c r="H55" s="7">
        <f t="shared" si="1"/>
        <v>-37655.409999999996</v>
      </c>
      <c r="I55" s="40">
        <f>I57+I56</f>
        <v>-2502.72</v>
      </c>
      <c r="J55" s="40">
        <f>J57+J56</f>
        <v>-2470.28</v>
      </c>
      <c r="K55" s="40">
        <f>K57+K56</f>
        <v>-2104.59</v>
      </c>
      <c r="L55" s="40">
        <f>L57+L56</f>
        <v>-2297.66</v>
      </c>
      <c r="M55" s="40">
        <f aca="true" t="shared" si="22" ref="M55:T55">M57+M56</f>
        <v>-2193.08</v>
      </c>
      <c r="N55" s="4">
        <f t="shared" si="22"/>
        <v>-2234.7</v>
      </c>
      <c r="O55" s="4">
        <f t="shared" si="22"/>
        <v>-2668.19</v>
      </c>
      <c r="P55" s="4">
        <f t="shared" si="22"/>
        <v>-3959.15</v>
      </c>
      <c r="Q55" s="4">
        <f t="shared" si="22"/>
        <v>-4357.64</v>
      </c>
      <c r="R55" s="4">
        <f t="shared" si="22"/>
        <v>-4322.01</v>
      </c>
      <c r="S55" s="4">
        <f t="shared" si="22"/>
        <v>-4289.92</v>
      </c>
      <c r="T55" s="4">
        <f t="shared" si="22"/>
        <v>-4255.47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>
        <v>-1500</v>
      </c>
      <c r="G56" s="4">
        <v>-34632.88</v>
      </c>
      <c r="H56" s="7">
        <f t="shared" si="1"/>
        <v>-37655.409999999996</v>
      </c>
      <c r="I56" s="40">
        <v>-2502.72</v>
      </c>
      <c r="J56" s="40">
        <v>-2470.28</v>
      </c>
      <c r="K56" s="40">
        <v>-2104.59</v>
      </c>
      <c r="L56" s="40">
        <v>-2297.66</v>
      </c>
      <c r="M56" s="40">
        <v>-2193.08</v>
      </c>
      <c r="N56" s="4">
        <v>-2234.7</v>
      </c>
      <c r="O56" s="4">
        <v>-2668.19</v>
      </c>
      <c r="P56" s="4">
        <v>-3959.15</v>
      </c>
      <c r="Q56" s="4">
        <v>-4357.64</v>
      </c>
      <c r="R56" s="4">
        <v>-4322.01</v>
      </c>
      <c r="S56" s="4">
        <v>-4289.92</v>
      </c>
      <c r="T56" s="4">
        <v>-4255.47</v>
      </c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-23005.96</v>
      </c>
      <c r="G59" s="7">
        <f>G3+G15+G18+G42</f>
        <v>-49128.939999999995</v>
      </c>
      <c r="H59" s="7">
        <f t="shared" si="1"/>
        <v>-64882.67999999999</v>
      </c>
      <c r="I59" s="43">
        <f>I3+I15+I18+I42</f>
        <v>-6394.9</v>
      </c>
      <c r="J59" s="43">
        <f>J3+J15+J18+J42</f>
        <v>-6392.860000000001</v>
      </c>
      <c r="K59" s="43">
        <f>K3+K15+K18+K42</f>
        <v>-2856.430000000001</v>
      </c>
      <c r="L59" s="43">
        <f>L3+L15+L18+L42</f>
        <v>-5257.62</v>
      </c>
      <c r="M59" s="43">
        <f aca="true" t="shared" si="23" ref="M59:T59">M3+M15+M18+M42</f>
        <v>-6145.76</v>
      </c>
      <c r="N59" s="7">
        <f t="shared" si="23"/>
        <v>-983.5800000000017</v>
      </c>
      <c r="O59" s="7">
        <f t="shared" si="23"/>
        <v>-5957.340000000001</v>
      </c>
      <c r="P59" s="7">
        <f t="shared" si="23"/>
        <v>-10222.500000000004</v>
      </c>
      <c r="Q59" s="7">
        <f t="shared" si="23"/>
        <v>-5813.200000000001</v>
      </c>
      <c r="R59" s="7">
        <f t="shared" si="23"/>
        <v>-12876.660000000002</v>
      </c>
      <c r="S59" s="7">
        <f t="shared" si="23"/>
        <v>-12778.489999999998</v>
      </c>
      <c r="T59" s="7">
        <f t="shared" si="23"/>
        <v>10796.660000000007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265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246</v>
      </c>
      <c r="O61" s="5" t="s">
        <v>95</v>
      </c>
      <c r="P61" s="5" t="s">
        <v>96</v>
      </c>
      <c r="Q61" s="5" t="s">
        <v>97</v>
      </c>
      <c r="R61" s="5" t="s">
        <v>98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0</v>
      </c>
      <c r="I62" s="44">
        <f>SUM(I63:I71)</f>
        <v>0</v>
      </c>
      <c r="J62" s="44">
        <f>SUM(J63:J71)</f>
        <v>0</v>
      </c>
      <c r="K62" s="44">
        <f>SUM(K63:K71)</f>
        <v>0</v>
      </c>
      <c r="L62" s="44">
        <f>SUM(L63:L71)</f>
        <v>0</v>
      </c>
      <c r="M62" s="44">
        <f aca="true" t="shared" si="24" ref="M62:T62">SUM(M63:M71)</f>
        <v>0</v>
      </c>
      <c r="N62">
        <f t="shared" si="24"/>
        <v>0</v>
      </c>
      <c r="O62">
        <f t="shared" si="24"/>
        <v>0</v>
      </c>
      <c r="P62">
        <f t="shared" si="24"/>
        <v>0</v>
      </c>
      <c r="Q62">
        <f t="shared" si="24"/>
        <v>0</v>
      </c>
      <c r="R62">
        <f t="shared" si="24"/>
        <v>0</v>
      </c>
      <c r="S62">
        <f t="shared" si="24"/>
        <v>0</v>
      </c>
      <c r="T62">
        <f t="shared" si="24"/>
        <v>0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0</v>
      </c>
      <c r="I63" s="46"/>
      <c r="J63" s="46"/>
      <c r="K63" s="46"/>
      <c r="L63" s="46"/>
      <c r="M63" s="46"/>
      <c r="N63" s="24">
        <v>0</v>
      </c>
      <c r="O63" s="24"/>
      <c r="P63" s="24"/>
      <c r="Q63" s="24"/>
      <c r="R63" s="24"/>
      <c r="S63" s="24"/>
      <c r="T63" s="24"/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5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5"/>
        <v>0</v>
      </c>
      <c r="I65" s="47"/>
      <c r="J65" s="47"/>
      <c r="K65" s="47"/>
      <c r="L65" s="47"/>
      <c r="M65" s="47"/>
      <c r="N65" s="27"/>
      <c r="O65" s="27"/>
      <c r="P65" s="27"/>
      <c r="Q65" s="27"/>
      <c r="R65" s="27"/>
      <c r="S65" s="27"/>
      <c r="T65" s="27"/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5"/>
        <v>0</v>
      </c>
      <c r="I66" s="47"/>
      <c r="J66" s="47"/>
      <c r="K66" s="47"/>
      <c r="L66" s="47"/>
      <c r="M66" s="47"/>
      <c r="N66" s="27"/>
      <c r="O66" s="27"/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5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5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5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0</v>
      </c>
      <c r="I72" s="24">
        <f aca="true" t="shared" si="26" ref="I72:T72">I62*33/100</f>
        <v>0</v>
      </c>
      <c r="J72" s="24">
        <f t="shared" si="26"/>
        <v>0</v>
      </c>
      <c r="K72" s="24">
        <f t="shared" si="26"/>
        <v>0</v>
      </c>
      <c r="L72" s="24">
        <f t="shared" si="26"/>
        <v>0</v>
      </c>
      <c r="M72" s="24">
        <f t="shared" si="26"/>
        <v>0</v>
      </c>
      <c r="N72" s="24">
        <f t="shared" si="26"/>
        <v>0</v>
      </c>
      <c r="O72" s="24">
        <f t="shared" si="26"/>
        <v>0</v>
      </c>
      <c r="P72" s="24">
        <f t="shared" si="26"/>
        <v>0</v>
      </c>
      <c r="Q72" s="24">
        <f t="shared" si="26"/>
        <v>0</v>
      </c>
      <c r="R72" s="24">
        <f t="shared" si="26"/>
        <v>0</v>
      </c>
      <c r="S72" s="24">
        <f t="shared" si="26"/>
        <v>0</v>
      </c>
      <c r="T72" s="24">
        <f t="shared" si="26"/>
        <v>0</v>
      </c>
    </row>
    <row r="73" spans="5:20" ht="12.75">
      <c r="E73" s="28" t="s">
        <v>74</v>
      </c>
      <c r="F73" s="28"/>
      <c r="G73" s="28"/>
      <c r="H73" s="21">
        <f>SUM(I73:T73)</f>
        <v>0</v>
      </c>
      <c r="I73" s="24">
        <f aca="true" t="shared" si="27" ref="I73:T73">1.4*I62/100</f>
        <v>0</v>
      </c>
      <c r="J73" s="24">
        <f t="shared" si="27"/>
        <v>0</v>
      </c>
      <c r="K73" s="24">
        <f t="shared" si="27"/>
        <v>0</v>
      </c>
      <c r="L73" s="24">
        <f t="shared" si="27"/>
        <v>0</v>
      </c>
      <c r="M73" s="24">
        <f t="shared" si="27"/>
        <v>0</v>
      </c>
      <c r="N73" s="24">
        <f t="shared" si="27"/>
        <v>0</v>
      </c>
      <c r="O73" s="24">
        <f t="shared" si="27"/>
        <v>0</v>
      </c>
      <c r="P73" s="24">
        <f t="shared" si="27"/>
        <v>0</v>
      </c>
      <c r="Q73" s="24">
        <f t="shared" si="27"/>
        <v>0</v>
      </c>
      <c r="R73" s="24">
        <f t="shared" si="27"/>
        <v>0</v>
      </c>
      <c r="S73" s="24">
        <f t="shared" si="27"/>
        <v>0</v>
      </c>
      <c r="T73" s="24">
        <f t="shared" si="27"/>
        <v>0</v>
      </c>
    </row>
    <row r="74" spans="6:20" ht="13.5" customHeight="1">
      <c r="F74" s="29"/>
      <c r="G74" s="29"/>
      <c r="H74" s="21">
        <f>SUM(I74:T74)</f>
        <v>0</v>
      </c>
      <c r="I74" s="24">
        <f aca="true" t="shared" si="28" ref="I74:T74">I62+I72+I73</f>
        <v>0</v>
      </c>
      <c r="J74" s="24">
        <f t="shared" si="28"/>
        <v>0</v>
      </c>
      <c r="K74" s="24">
        <f t="shared" si="28"/>
        <v>0</v>
      </c>
      <c r="L74" s="24">
        <f t="shared" si="28"/>
        <v>0</v>
      </c>
      <c r="M74" s="24">
        <f t="shared" si="28"/>
        <v>0</v>
      </c>
      <c r="N74" s="24">
        <f t="shared" si="28"/>
        <v>0</v>
      </c>
      <c r="O74" s="24">
        <f t="shared" si="28"/>
        <v>0</v>
      </c>
      <c r="P74" s="24">
        <f t="shared" si="28"/>
        <v>0</v>
      </c>
      <c r="Q74" s="24">
        <f t="shared" si="28"/>
        <v>0</v>
      </c>
      <c r="R74" s="24">
        <f t="shared" si="28"/>
        <v>0</v>
      </c>
      <c r="S74" s="24">
        <f t="shared" si="28"/>
        <v>0</v>
      </c>
      <c r="T74" s="24">
        <f t="shared" si="28"/>
        <v>0</v>
      </c>
    </row>
    <row r="75" spans="5:20" ht="12.75">
      <c r="E75" s="30" t="s">
        <v>75</v>
      </c>
      <c r="H75" s="21" t="s">
        <v>76</v>
      </c>
      <c r="I75" s="48">
        <v>12.71</v>
      </c>
      <c r="J75" s="48">
        <v>12.71</v>
      </c>
      <c r="K75" s="48">
        <v>12.71</v>
      </c>
      <c r="L75" s="48">
        <v>12.71</v>
      </c>
      <c r="M75" s="48">
        <v>12.71</v>
      </c>
      <c r="N75" s="48">
        <v>12.71</v>
      </c>
      <c r="O75" s="48">
        <v>12.71</v>
      </c>
      <c r="P75" s="48">
        <v>12.71</v>
      </c>
      <c r="Q75" s="48">
        <v>12.71</v>
      </c>
      <c r="R75" s="48">
        <v>12.71</v>
      </c>
      <c r="S75" s="48">
        <v>12.71</v>
      </c>
      <c r="T75" s="48">
        <v>12.71</v>
      </c>
    </row>
    <row r="76" spans="5:20" s="1" customFormat="1" ht="25.5"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5:20" s="1" customFormat="1" ht="12.75">
      <c r="E77" s="1" t="s">
        <v>117</v>
      </c>
      <c r="H77" s="7">
        <f aca="true" t="shared" si="29" ref="H77:H97">SUM(I77:T77)</f>
        <v>1178</v>
      </c>
      <c r="I77" s="32"/>
      <c r="J77" s="32"/>
      <c r="K77" s="32">
        <v>122</v>
      </c>
      <c r="L77" s="32"/>
      <c r="M77" s="32">
        <v>9</v>
      </c>
      <c r="N77" s="1">
        <v>305</v>
      </c>
      <c r="O77" s="1">
        <v>14</v>
      </c>
      <c r="P77" s="1">
        <v>31</v>
      </c>
      <c r="Q77" s="32">
        <v>492</v>
      </c>
      <c r="R77" s="1">
        <v>28</v>
      </c>
      <c r="S77" s="1">
        <v>2</v>
      </c>
      <c r="T77" s="1">
        <v>175</v>
      </c>
    </row>
    <row r="78" spans="5:20" s="1" customFormat="1" ht="12.75">
      <c r="E78" s="32" t="s">
        <v>78</v>
      </c>
      <c r="H78" s="7">
        <f t="shared" si="29"/>
        <v>14972.42</v>
      </c>
      <c r="I78" s="40"/>
      <c r="J78" s="40"/>
      <c r="K78" s="40">
        <v>1550.55</v>
      </c>
      <c r="L78" s="40"/>
      <c r="M78" s="40">
        <v>114.4</v>
      </c>
      <c r="N78" s="4">
        <f>N75*N77+0.05</f>
        <v>3876.6000000000004</v>
      </c>
      <c r="O78" s="4">
        <f>O75*O77+0.01</f>
        <v>177.95</v>
      </c>
      <c r="P78" s="4">
        <f>P75*P77+0.09</f>
        <v>394.1</v>
      </c>
      <c r="Q78" s="40">
        <v>6253.33</v>
      </c>
      <c r="R78" s="4">
        <f>R75*R77-0.03</f>
        <v>355.85</v>
      </c>
      <c r="S78" s="4">
        <v>25.4</v>
      </c>
      <c r="T78" s="4">
        <v>2224.24</v>
      </c>
    </row>
    <row r="79" spans="5:20" s="1" customFormat="1" ht="12.75">
      <c r="E79" s="32" t="s">
        <v>141</v>
      </c>
      <c r="H79" s="7">
        <f t="shared" si="29"/>
        <v>10</v>
      </c>
      <c r="I79" s="40"/>
      <c r="J79" s="40"/>
      <c r="K79" s="40"/>
      <c r="L79" s="40"/>
      <c r="M79" s="40"/>
      <c r="N79" s="4">
        <v>10</v>
      </c>
      <c r="O79" s="4"/>
      <c r="P79" s="4"/>
      <c r="Q79" s="40"/>
      <c r="R79" s="4"/>
      <c r="S79" s="4"/>
      <c r="T79" s="4"/>
    </row>
    <row r="80" spans="5:20" s="1" customFormat="1" ht="12.75">
      <c r="E80" s="32" t="s">
        <v>142</v>
      </c>
      <c r="H80" s="7">
        <f t="shared" si="29"/>
        <v>211.64</v>
      </c>
      <c r="I80" s="40"/>
      <c r="J80" s="40"/>
      <c r="K80" s="40"/>
      <c r="L80" s="40"/>
      <c r="M80" s="40"/>
      <c r="N80" s="4">
        <v>211.64</v>
      </c>
      <c r="O80" s="4"/>
      <c r="P80" s="4"/>
      <c r="Q80" s="40"/>
      <c r="R80" s="4"/>
      <c r="S80" s="4"/>
      <c r="T80" s="4"/>
    </row>
    <row r="81" spans="5:20" s="1" customFormat="1" ht="12.75">
      <c r="E81" s="32" t="s">
        <v>143</v>
      </c>
      <c r="H81" s="7">
        <f t="shared" si="29"/>
        <v>201</v>
      </c>
      <c r="I81" s="40"/>
      <c r="J81" s="40"/>
      <c r="K81" s="40">
        <v>43</v>
      </c>
      <c r="L81" s="40"/>
      <c r="M81" s="40"/>
      <c r="N81" s="4">
        <v>39</v>
      </c>
      <c r="O81" s="4"/>
      <c r="P81" s="4"/>
      <c r="Q81" s="40">
        <v>56</v>
      </c>
      <c r="R81" s="4"/>
      <c r="S81" s="4"/>
      <c r="T81" s="4">
        <v>63</v>
      </c>
    </row>
    <row r="82" spans="5:20" s="1" customFormat="1" ht="12.75">
      <c r="E82" s="32" t="s">
        <v>144</v>
      </c>
      <c r="H82" s="7">
        <f t="shared" si="29"/>
        <v>12551.84</v>
      </c>
      <c r="I82" s="40"/>
      <c r="J82" s="40"/>
      <c r="K82" s="40">
        <v>2603.5</v>
      </c>
      <c r="L82" s="40"/>
      <c r="M82" s="40"/>
      <c r="N82" s="4">
        <v>2476.5</v>
      </c>
      <c r="O82" s="4"/>
      <c r="P82" s="4"/>
      <c r="Q82" s="4">
        <v>3471.33</v>
      </c>
      <c r="R82" s="4"/>
      <c r="S82" s="4"/>
      <c r="T82" s="4">
        <v>4000.51</v>
      </c>
    </row>
    <row r="83" spans="5:20" s="1" customFormat="1" ht="12.75">
      <c r="E83" s="32" t="s">
        <v>276</v>
      </c>
      <c r="H83" s="7">
        <f t="shared" si="29"/>
        <v>17372.52</v>
      </c>
      <c r="I83" s="40"/>
      <c r="J83" s="40"/>
      <c r="K83" s="40"/>
      <c r="L83" s="40"/>
      <c r="M83" s="40"/>
      <c r="N83" s="4"/>
      <c r="O83" s="4"/>
      <c r="P83" s="4"/>
      <c r="Q83" s="4"/>
      <c r="R83" s="4"/>
      <c r="S83" s="4"/>
      <c r="T83" s="4">
        <v>17372.52</v>
      </c>
    </row>
    <row r="84" spans="5:20" s="1" customFormat="1" ht="18">
      <c r="E84" s="33"/>
      <c r="F84" s="2"/>
      <c r="G84" s="2"/>
      <c r="H84" s="7" t="e">
        <f t="shared" si="29"/>
        <v>#DIV/0!</v>
      </c>
      <c r="I84" s="38"/>
      <c r="J84" s="38"/>
      <c r="K84" s="38" t="e">
        <f>K86/K85</f>
        <v>#DIV/0!</v>
      </c>
      <c r="L84" s="38" t="e">
        <f aca="true" t="shared" si="30" ref="L84:T84">L86/L85</f>
        <v>#DIV/0!</v>
      </c>
      <c r="M84" s="38" t="e">
        <f t="shared" si="30"/>
        <v>#DIV/0!</v>
      </c>
      <c r="N84" s="38" t="e">
        <f t="shared" si="30"/>
        <v>#DIV/0!</v>
      </c>
      <c r="O84" s="38" t="e">
        <f t="shared" si="30"/>
        <v>#DIV/0!</v>
      </c>
      <c r="P84" s="38" t="e">
        <f t="shared" si="30"/>
        <v>#DIV/0!</v>
      </c>
      <c r="Q84" s="38" t="e">
        <f t="shared" si="30"/>
        <v>#DIV/0!</v>
      </c>
      <c r="R84" s="38" t="e">
        <f t="shared" si="30"/>
        <v>#DIV/0!</v>
      </c>
      <c r="S84" s="38" t="e">
        <f t="shared" si="30"/>
        <v>#DIV/0!</v>
      </c>
      <c r="T84" s="38" t="e">
        <f t="shared" si="30"/>
        <v>#DIV/0!</v>
      </c>
    </row>
    <row r="85" spans="5:20" s="1" customFormat="1" ht="12.75">
      <c r="E85" s="32" t="s">
        <v>80</v>
      </c>
      <c r="H85" s="7">
        <f t="shared" si="29"/>
        <v>0</v>
      </c>
      <c r="I85" s="38"/>
      <c r="J85" s="38"/>
      <c r="K85" s="38"/>
      <c r="L85" s="38"/>
      <c r="M85" s="38"/>
      <c r="N85" s="13"/>
      <c r="O85" s="13"/>
      <c r="P85" s="13"/>
      <c r="Q85" s="13"/>
      <c r="R85" s="13"/>
      <c r="S85" s="13"/>
      <c r="T85" s="13"/>
    </row>
    <row r="86" spans="5:20" s="1" customFormat="1" ht="12.75">
      <c r="E86" s="32" t="s">
        <v>81</v>
      </c>
      <c r="F86" s="60"/>
      <c r="G86" s="60"/>
      <c r="H86" s="7">
        <f t="shared" si="29"/>
        <v>0</v>
      </c>
      <c r="I86" s="40">
        <f>I84*I85</f>
        <v>0</v>
      </c>
      <c r="J86" s="40">
        <f>J84*J85</f>
        <v>0</v>
      </c>
      <c r="K86" s="40"/>
      <c r="L86" s="40"/>
      <c r="M86" s="40"/>
      <c r="N86" s="4"/>
      <c r="O86" s="4"/>
      <c r="P86" s="4"/>
      <c r="Q86" s="4"/>
      <c r="R86" s="4"/>
      <c r="S86" s="4"/>
      <c r="T86" s="4"/>
    </row>
    <row r="87" spans="5:20" s="1" customFormat="1" ht="12.75">
      <c r="E87" s="33" t="s">
        <v>137</v>
      </c>
      <c r="F87" s="60"/>
      <c r="G87" s="60"/>
      <c r="H87" s="7">
        <f t="shared" si="29"/>
        <v>0</v>
      </c>
      <c r="I87" s="38"/>
      <c r="J87" s="38"/>
      <c r="K87" s="38"/>
      <c r="L87" s="38"/>
      <c r="M87" s="38"/>
      <c r="N87" s="13"/>
      <c r="O87" s="13"/>
      <c r="P87" s="13"/>
      <c r="Q87" s="13"/>
      <c r="R87" s="13"/>
      <c r="S87" s="13"/>
      <c r="T87" s="13"/>
    </row>
    <row r="88" spans="5:13" s="1" customFormat="1" ht="12.75">
      <c r="E88" s="32" t="s">
        <v>101</v>
      </c>
      <c r="F88" s="61"/>
      <c r="G88" s="61"/>
      <c r="H88" s="7">
        <f t="shared" si="29"/>
        <v>0</v>
      </c>
      <c r="I88" s="32"/>
      <c r="J88" s="32"/>
      <c r="K88" s="32"/>
      <c r="L88" s="32"/>
      <c r="M88" s="32"/>
    </row>
    <row r="89" spans="5:20" s="1" customFormat="1" ht="12.75">
      <c r="E89" s="32" t="s">
        <v>81</v>
      </c>
      <c r="F89" s="61"/>
      <c r="G89" s="61"/>
      <c r="H89" s="7">
        <f t="shared" si="29"/>
        <v>0</v>
      </c>
      <c r="I89" s="40">
        <f>I87*I88</f>
        <v>0</v>
      </c>
      <c r="J89" s="40">
        <f>J87*J88</f>
        <v>0</v>
      </c>
      <c r="K89" s="40">
        <f>K87*K88</f>
        <v>0</v>
      </c>
      <c r="L89" s="40">
        <f>L87*L88</f>
        <v>0</v>
      </c>
      <c r="M89" s="40">
        <f aca="true" t="shared" si="31" ref="M89:T89">M87*M88</f>
        <v>0</v>
      </c>
      <c r="N89" s="4">
        <f t="shared" si="31"/>
        <v>0</v>
      </c>
      <c r="O89" s="4">
        <f t="shared" si="31"/>
        <v>0</v>
      </c>
      <c r="P89" s="4">
        <f t="shared" si="31"/>
        <v>0</v>
      </c>
      <c r="Q89" s="4">
        <f t="shared" si="31"/>
        <v>0</v>
      </c>
      <c r="R89" s="4">
        <f t="shared" si="31"/>
        <v>0</v>
      </c>
      <c r="S89" s="4">
        <f t="shared" si="31"/>
        <v>0</v>
      </c>
      <c r="T89" s="4">
        <f t="shared" si="31"/>
        <v>0</v>
      </c>
    </row>
    <row r="90" spans="6:13" s="1" customFormat="1" ht="12.75">
      <c r="F90" s="61"/>
      <c r="G90" s="61" t="s">
        <v>83</v>
      </c>
      <c r="H90" s="7">
        <f t="shared" si="29"/>
        <v>0</v>
      </c>
      <c r="I90" s="32"/>
      <c r="J90" s="32"/>
      <c r="K90" s="32"/>
      <c r="L90" s="32"/>
      <c r="M90" s="32"/>
    </row>
    <row r="91" spans="5:20" s="1" customFormat="1" ht="25.5">
      <c r="E91" s="2"/>
      <c r="H91" s="3">
        <f t="shared" si="29"/>
        <v>0</v>
      </c>
      <c r="I91" s="40" t="s">
        <v>89</v>
      </c>
      <c r="J91" s="40" t="s">
        <v>90</v>
      </c>
      <c r="K91" s="40" t="s">
        <v>91</v>
      </c>
      <c r="L91" s="45" t="s">
        <v>92</v>
      </c>
      <c r="M91" s="40" t="s">
        <v>93</v>
      </c>
      <c r="N91" s="4" t="s">
        <v>94</v>
      </c>
      <c r="O91" s="4" t="s">
        <v>95</v>
      </c>
      <c r="P91" s="5" t="s">
        <v>96</v>
      </c>
      <c r="Q91" s="4" t="s">
        <v>97</v>
      </c>
      <c r="R91" s="4" t="s">
        <v>98</v>
      </c>
      <c r="S91" s="4" t="s">
        <v>99</v>
      </c>
      <c r="T91" s="5" t="s">
        <v>100</v>
      </c>
    </row>
    <row r="92" spans="5:20" s="1" customFormat="1" ht="12.75">
      <c r="E92" s="1" t="s">
        <v>157</v>
      </c>
      <c r="H92" s="7">
        <f t="shared" si="29"/>
        <v>0</v>
      </c>
      <c r="I92" s="32">
        <f>SUM(I93:I98)</f>
        <v>0</v>
      </c>
      <c r="J92" s="32">
        <f>SUM(J93:J98)</f>
        <v>0</v>
      </c>
      <c r="K92" s="32">
        <f>SUM(K93:K98)</f>
        <v>0</v>
      </c>
      <c r="L92" s="32">
        <f>SUM(L93:L98)</f>
        <v>0</v>
      </c>
      <c r="M92" s="32">
        <f aca="true" t="shared" si="32" ref="M92:T92">SUM(M93:M98)</f>
        <v>0</v>
      </c>
      <c r="N92" s="1">
        <f t="shared" si="32"/>
        <v>0</v>
      </c>
      <c r="O92" s="1">
        <f t="shared" si="32"/>
        <v>0</v>
      </c>
      <c r="P92" s="1">
        <f t="shared" si="32"/>
        <v>0</v>
      </c>
      <c r="Q92" s="1">
        <f t="shared" si="32"/>
        <v>0</v>
      </c>
      <c r="R92" s="1">
        <f t="shared" si="32"/>
        <v>0</v>
      </c>
      <c r="S92" s="1">
        <f t="shared" si="32"/>
        <v>0</v>
      </c>
      <c r="T92" s="1">
        <f t="shared" si="32"/>
        <v>0</v>
      </c>
    </row>
    <row r="93" spans="5:13" s="60" customFormat="1" ht="12.75">
      <c r="E93" s="60" t="s">
        <v>85</v>
      </c>
      <c r="F93" s="1"/>
      <c r="G93" s="1"/>
      <c r="H93" s="10">
        <f t="shared" si="29"/>
        <v>0</v>
      </c>
      <c r="I93" s="61"/>
      <c r="J93" s="61"/>
      <c r="K93" s="61"/>
      <c r="L93" s="61"/>
      <c r="M93" s="61"/>
    </row>
    <row r="94" spans="5:13" s="60" customFormat="1" ht="12.75">
      <c r="E94" s="60" t="s">
        <v>86</v>
      </c>
      <c r="F94" s="1"/>
      <c r="G94" s="1"/>
      <c r="H94" s="10">
        <f t="shared" si="29"/>
        <v>0</v>
      </c>
      <c r="I94" s="61"/>
      <c r="J94" s="61"/>
      <c r="K94" s="61"/>
      <c r="L94" s="61"/>
      <c r="M94" s="61"/>
    </row>
    <row r="95" spans="5:13" s="60" customFormat="1" ht="12.75">
      <c r="E95" s="61" t="s">
        <v>107</v>
      </c>
      <c r="F95" s="1"/>
      <c r="G95" s="1"/>
      <c r="H95" s="10">
        <f t="shared" si="29"/>
        <v>0</v>
      </c>
      <c r="I95" s="61"/>
      <c r="J95" s="61"/>
      <c r="K95" s="61"/>
      <c r="L95" s="61"/>
      <c r="M95" s="61"/>
    </row>
    <row r="96" spans="5:13" s="60" customFormat="1" ht="12.75">
      <c r="E96" s="61" t="s">
        <v>87</v>
      </c>
      <c r="F96" s="1"/>
      <c r="G96" s="1"/>
      <c r="H96" s="10">
        <f t="shared" si="29"/>
        <v>0</v>
      </c>
      <c r="I96" s="61"/>
      <c r="J96" s="61"/>
      <c r="K96" s="61"/>
      <c r="L96" s="61"/>
      <c r="M96" s="61"/>
    </row>
    <row r="97" spans="5:13" s="60" customFormat="1" ht="12.75">
      <c r="E97" s="61" t="s">
        <v>88</v>
      </c>
      <c r="F97" s="1"/>
      <c r="G97" s="1"/>
      <c r="H97" s="10">
        <f t="shared" si="29"/>
        <v>0</v>
      </c>
      <c r="I97" s="61"/>
      <c r="J97" s="61"/>
      <c r="K97" s="61"/>
      <c r="L97" s="61"/>
      <c r="M97" s="61"/>
    </row>
    <row r="98" spans="5:20" s="1" customFormat="1" ht="12.75">
      <c r="E98" s="61" t="s">
        <v>140</v>
      </c>
      <c r="H98" s="7"/>
      <c r="I98" s="32"/>
      <c r="J98" s="32"/>
      <c r="K98" s="32"/>
      <c r="L98" s="32"/>
      <c r="M98" s="61"/>
      <c r="N98" s="60"/>
      <c r="O98" s="60"/>
      <c r="P98" s="60"/>
      <c r="Q98" s="60"/>
      <c r="R98" s="60"/>
      <c r="S98" s="60"/>
      <c r="T98" s="60"/>
    </row>
    <row r="99" spans="5:13" s="102" customFormat="1" ht="12.75">
      <c r="E99" s="103" t="s">
        <v>145</v>
      </c>
      <c r="H99" s="104"/>
      <c r="I99" s="105"/>
      <c r="J99" s="105"/>
      <c r="K99" s="105"/>
      <c r="L99" s="105"/>
      <c r="M99" s="103"/>
    </row>
    <row r="100" spans="8:13" s="18" customFormat="1" ht="12.75">
      <c r="H100" s="21"/>
      <c r="I100" s="56"/>
      <c r="J100" s="56"/>
      <c r="K100" s="56"/>
      <c r="L100" s="56"/>
      <c r="M100" s="56"/>
    </row>
    <row r="101" spans="5:20" s="86" customFormat="1" ht="12.75">
      <c r="E101" s="106" t="s">
        <v>146</v>
      </c>
      <c r="F101" s="86">
        <v>0</v>
      </c>
      <c r="G101" s="86">
        <v>117104.46</v>
      </c>
      <c r="H101" s="107">
        <f>SUM(I101:T101)</f>
        <v>145434.56000000003</v>
      </c>
      <c r="I101" s="28">
        <v>11833.45</v>
      </c>
      <c r="J101" s="28">
        <v>11875.42</v>
      </c>
      <c r="K101" s="28">
        <v>12214.47</v>
      </c>
      <c r="L101" s="28">
        <v>11958.4</v>
      </c>
      <c r="M101" s="28">
        <v>12097</v>
      </c>
      <c r="N101" s="28">
        <v>12042.33</v>
      </c>
      <c r="O101" s="28">
        <v>12178.23</v>
      </c>
      <c r="P101" s="28">
        <v>12127.21</v>
      </c>
      <c r="Q101" s="28">
        <v>12169.18</v>
      </c>
      <c r="R101" s="28">
        <v>12300.99</v>
      </c>
      <c r="S101" s="28">
        <v>12254.06</v>
      </c>
      <c r="T101" s="28">
        <v>12383.82</v>
      </c>
    </row>
    <row r="102" spans="5:20" s="86" customFormat="1" ht="12.75">
      <c r="E102" s="106" t="s">
        <v>258</v>
      </c>
      <c r="F102" s="86">
        <v>0</v>
      </c>
      <c r="G102" s="86">
        <v>34632.88</v>
      </c>
      <c r="H102" s="107">
        <f>SUM(I102:T102)</f>
        <v>35663</v>
      </c>
      <c r="I102" s="28">
        <v>2502.72</v>
      </c>
      <c r="J102" s="28">
        <v>2470.28</v>
      </c>
      <c r="K102" s="28">
        <v>2104.59</v>
      </c>
      <c r="L102" s="28">
        <v>2297.66</v>
      </c>
      <c r="M102" s="28">
        <v>2193.08</v>
      </c>
      <c r="N102" s="28">
        <v>2234.7</v>
      </c>
      <c r="O102" s="28">
        <v>2668.19</v>
      </c>
      <c r="P102" s="28">
        <v>3959.15</v>
      </c>
      <c r="Q102" s="28">
        <v>2365.23</v>
      </c>
      <c r="R102" s="28">
        <f>2159.85+2162.16</f>
        <v>4322.01</v>
      </c>
      <c r="S102" s="28">
        <f>2197.51+2092.41</f>
        <v>4289.92</v>
      </c>
      <c r="T102" s="28">
        <f>2093.35+2162.12</f>
        <v>4255.469999999999</v>
      </c>
    </row>
    <row r="103" spans="5:20" s="18" customFormat="1" ht="12.75">
      <c r="E103" s="26"/>
      <c r="H103" s="23">
        <f>SUM(I103:T103)</f>
        <v>0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5:18" s="18" customFormat="1" ht="12.75">
      <c r="E104" s="26" t="s">
        <v>160</v>
      </c>
      <c r="H104" s="23">
        <f>SUM(I104:T104)</f>
        <v>13</v>
      </c>
      <c r="I104" s="56"/>
      <c r="J104" s="56"/>
      <c r="K104" s="56"/>
      <c r="L104" s="56">
        <v>3</v>
      </c>
      <c r="M104" s="56">
        <v>1</v>
      </c>
      <c r="N104" s="18">
        <v>3</v>
      </c>
      <c r="P104" s="18">
        <v>5</v>
      </c>
      <c r="Q104" s="18">
        <v>1</v>
      </c>
      <c r="R104" s="56">
        <v>0</v>
      </c>
    </row>
    <row r="105" spans="5:20" s="18" customFormat="1" ht="12.75">
      <c r="E105" s="26" t="s">
        <v>159</v>
      </c>
      <c r="H105" s="23">
        <f>SUM(I105:T105)</f>
        <v>144067.86999999997</v>
      </c>
      <c r="I105" s="56"/>
      <c r="J105" s="56"/>
      <c r="K105" s="56"/>
      <c r="L105" s="56">
        <v>25423.74</v>
      </c>
      <c r="M105" s="56">
        <v>8474.58</v>
      </c>
      <c r="N105" s="18">
        <v>25423.74</v>
      </c>
      <c r="P105" s="18">
        <v>42372.9</v>
      </c>
      <c r="Q105" s="18">
        <v>8474.58</v>
      </c>
      <c r="R105" s="56">
        <v>0</v>
      </c>
      <c r="S105" s="56">
        <v>25423.75</v>
      </c>
      <c r="T105" s="56">
        <v>8474.58</v>
      </c>
    </row>
    <row r="106" spans="8:13" s="18" customFormat="1" ht="12.75">
      <c r="H106" s="23"/>
      <c r="I106" s="56"/>
      <c r="J106" s="56"/>
      <c r="K106" s="56"/>
      <c r="L106" s="56"/>
      <c r="M106" s="56"/>
    </row>
    <row r="107" spans="8:13" s="18" customFormat="1" ht="12.75">
      <c r="H107" s="21"/>
      <c r="I107" s="56"/>
      <c r="J107" s="56"/>
      <c r="K107" s="56"/>
      <c r="L107" s="56"/>
      <c r="M107" s="56"/>
    </row>
    <row r="108" spans="8:13" s="18" customFormat="1" ht="12.75">
      <c r="H108" s="21"/>
      <c r="I108" s="56"/>
      <c r="J108" s="56"/>
      <c r="K108" s="56"/>
      <c r="L108" s="56"/>
      <c r="M108" s="56"/>
    </row>
    <row r="109" spans="8:13" s="18" customFormat="1" ht="12.75">
      <c r="H109" s="21"/>
      <c r="I109" s="56"/>
      <c r="J109" s="56"/>
      <c r="K109" s="56"/>
      <c r="L109" s="56"/>
      <c r="M109" s="56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  <row r="168" ht="12.75">
      <c r="I168" s="44"/>
    </row>
    <row r="169" ht="12.75">
      <c r="I169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3"/>
  <headerFooter alignWithMargins="0">
    <oddHeader>&amp;C&amp;F  &amp;D&amp;RSalmistu Joogivesi &amp;A</oddHeader>
    <oddFooter>&amp;C&amp;F  &amp;D&amp;RSalmistu joogivesi tegevusalakood  &amp;A</oddFooter>
  </headerFooter>
  <rowBreaks count="1" manualBreakCount="1">
    <brk id="60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B1">
      <pane xSplit="7" ySplit="2" topLeftCell="R39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T38" sqref="T38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94</v>
      </c>
      <c r="O2" s="5" t="s">
        <v>95</v>
      </c>
      <c r="P2" s="5" t="s">
        <v>96</v>
      </c>
      <c r="Q2" s="5" t="s">
        <v>97</v>
      </c>
      <c r="R2" s="5" t="s">
        <v>98</v>
      </c>
      <c r="S2" s="5" t="s">
        <v>267</v>
      </c>
      <c r="T2" s="5" t="s">
        <v>271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66331.07</v>
      </c>
      <c r="G3" s="4">
        <f>G4+G8+G12</f>
        <v>9490.48</v>
      </c>
      <c r="H3" s="7">
        <f>SUM(I3:T3)</f>
        <v>2019.9399999999996</v>
      </c>
      <c r="I3" s="40">
        <f>I4+I8+I12</f>
        <v>247.95</v>
      </c>
      <c r="J3" s="40">
        <f>J4+J8+J12</f>
        <v>206.91</v>
      </c>
      <c r="K3" s="40">
        <f>K4+K8+K12</f>
        <v>168.75</v>
      </c>
      <c r="L3" s="40">
        <f>L4+L8+L12</f>
        <v>126.05</v>
      </c>
      <c r="M3" s="40">
        <f aca="true" t="shared" si="0" ref="M3:T3">M4+M8+M12</f>
        <v>15.3</v>
      </c>
      <c r="N3" s="4">
        <f t="shared" si="0"/>
        <v>0</v>
      </c>
      <c r="O3" s="4">
        <f t="shared" si="0"/>
        <v>0</v>
      </c>
      <c r="P3" s="4">
        <f t="shared" si="0"/>
        <v>81.59</v>
      </c>
      <c r="Q3" s="4">
        <f t="shared" si="0"/>
        <v>173.8</v>
      </c>
      <c r="R3" s="4">
        <f t="shared" si="0"/>
        <v>335.1</v>
      </c>
      <c r="S3" s="4">
        <f t="shared" si="0"/>
        <v>362.09</v>
      </c>
      <c r="T3" s="4">
        <f t="shared" si="0"/>
        <v>302.4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66331.07</v>
      </c>
      <c r="G4" s="4">
        <f>G5</f>
        <v>9490.48</v>
      </c>
      <c r="H4" s="7">
        <f aca="true" t="shared" si="1" ref="H4:H60">SUM(I4:T4)</f>
        <v>2019.9399999999996</v>
      </c>
      <c r="I4" s="40">
        <f>I5</f>
        <v>247.95</v>
      </c>
      <c r="J4" s="40">
        <f>J5</f>
        <v>206.91</v>
      </c>
      <c r="K4" s="40">
        <f>K5</f>
        <v>168.75</v>
      </c>
      <c r="L4" s="40">
        <f>L5</f>
        <v>126.05</v>
      </c>
      <c r="M4" s="40">
        <f aca="true" t="shared" si="2" ref="M4:T4">M5</f>
        <v>15.3</v>
      </c>
      <c r="N4" s="4">
        <f t="shared" si="2"/>
        <v>0</v>
      </c>
      <c r="O4" s="4">
        <f t="shared" si="2"/>
        <v>0</v>
      </c>
      <c r="P4" s="4">
        <f t="shared" si="2"/>
        <v>81.59</v>
      </c>
      <c r="Q4" s="4">
        <f t="shared" si="2"/>
        <v>173.8</v>
      </c>
      <c r="R4" s="4">
        <f t="shared" si="2"/>
        <v>335.1</v>
      </c>
      <c r="S4" s="4">
        <f t="shared" si="2"/>
        <v>362.09</v>
      </c>
      <c r="T4" s="4">
        <f t="shared" si="2"/>
        <v>302.4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66331.07</v>
      </c>
      <c r="G5" s="4">
        <f>G7</f>
        <v>9490.48</v>
      </c>
      <c r="H5" s="7">
        <f t="shared" si="1"/>
        <v>2019.9399999999996</v>
      </c>
      <c r="I5" s="40">
        <f>I7</f>
        <v>247.95</v>
      </c>
      <c r="J5" s="40">
        <f>J7</f>
        <v>206.91</v>
      </c>
      <c r="K5" s="40">
        <f>K7</f>
        <v>168.75</v>
      </c>
      <c r="L5" s="40">
        <f>L7</f>
        <v>126.05</v>
      </c>
      <c r="M5" s="40">
        <f aca="true" t="shared" si="3" ref="M5:T5">M7</f>
        <v>15.3</v>
      </c>
      <c r="N5" s="4">
        <f t="shared" si="3"/>
        <v>0</v>
      </c>
      <c r="O5" s="4">
        <f t="shared" si="3"/>
        <v>0</v>
      </c>
      <c r="P5" s="4">
        <f t="shared" si="3"/>
        <v>81.59</v>
      </c>
      <c r="Q5" s="4">
        <f t="shared" si="3"/>
        <v>173.8</v>
      </c>
      <c r="R5" s="4">
        <f t="shared" si="3"/>
        <v>335.1</v>
      </c>
      <c r="S5" s="4">
        <f t="shared" si="3"/>
        <v>362.09</v>
      </c>
      <c r="T5" s="4">
        <f t="shared" si="3"/>
        <v>302.4</v>
      </c>
    </row>
    <row r="6" spans="1:20" s="11" customFormat="1" ht="11.25">
      <c r="A6" s="8"/>
      <c r="B6" s="8"/>
      <c r="C6" s="8"/>
      <c r="D6" s="8"/>
      <c r="E6" s="8" t="s">
        <v>161</v>
      </c>
      <c r="F6" s="9">
        <v>0</v>
      </c>
      <c r="G6" s="9">
        <v>0</v>
      </c>
      <c r="H6" s="10">
        <f t="shared" si="1"/>
        <v>1080</v>
      </c>
      <c r="I6" s="41">
        <f aca="true" t="shared" si="4" ref="I6:T7">I77</f>
        <v>145</v>
      </c>
      <c r="J6" s="41">
        <f t="shared" si="4"/>
        <v>121</v>
      </c>
      <c r="K6" s="41">
        <f t="shared" si="4"/>
        <v>89</v>
      </c>
      <c r="L6" s="41">
        <f t="shared" si="4"/>
        <v>66</v>
      </c>
      <c r="M6" s="41">
        <f t="shared" si="4"/>
        <v>8</v>
      </c>
      <c r="N6" s="9">
        <f t="shared" si="4"/>
        <v>0</v>
      </c>
      <c r="O6" s="9">
        <f t="shared" si="4"/>
        <v>0</v>
      </c>
      <c r="P6" s="9">
        <f t="shared" si="4"/>
        <v>41</v>
      </c>
      <c r="Q6" s="9">
        <f t="shared" si="4"/>
        <v>91</v>
      </c>
      <c r="R6" s="9">
        <f t="shared" si="4"/>
        <v>174</v>
      </c>
      <c r="S6" s="9">
        <f t="shared" si="4"/>
        <v>188</v>
      </c>
      <c r="T6" s="9">
        <f t="shared" si="4"/>
        <v>157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66331.07</v>
      </c>
      <c r="G7" s="13">
        <v>9490.48</v>
      </c>
      <c r="H7" s="10">
        <f t="shared" si="1"/>
        <v>2019.9399999999996</v>
      </c>
      <c r="I7" s="38">
        <f t="shared" si="4"/>
        <v>247.95</v>
      </c>
      <c r="J7" s="38">
        <f t="shared" si="4"/>
        <v>206.91</v>
      </c>
      <c r="K7" s="38">
        <f t="shared" si="4"/>
        <v>168.75</v>
      </c>
      <c r="L7" s="38">
        <f t="shared" si="4"/>
        <v>126.05</v>
      </c>
      <c r="M7" s="38">
        <f t="shared" si="4"/>
        <v>15.3</v>
      </c>
      <c r="N7" s="13">
        <f t="shared" si="4"/>
        <v>0</v>
      </c>
      <c r="O7" s="13">
        <f t="shared" si="4"/>
        <v>0</v>
      </c>
      <c r="P7" s="13">
        <f t="shared" si="4"/>
        <v>81.59</v>
      </c>
      <c r="Q7" s="13">
        <f t="shared" si="4"/>
        <v>173.8</v>
      </c>
      <c r="R7" s="13">
        <f t="shared" si="4"/>
        <v>335.1</v>
      </c>
      <c r="S7" s="13">
        <v>362.09</v>
      </c>
      <c r="T7" s="13">
        <f t="shared" si="4"/>
        <v>302.4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5" ref="M8:T8">M9+M11</f>
        <v>0</v>
      </c>
      <c r="N8" s="4">
        <f t="shared" si="5"/>
        <v>0</v>
      </c>
      <c r="O8" s="4">
        <f t="shared" si="5"/>
        <v>0</v>
      </c>
      <c r="P8" s="4">
        <f t="shared" si="5"/>
        <v>0</v>
      </c>
      <c r="Q8" s="4">
        <f t="shared" si="5"/>
        <v>0</v>
      </c>
      <c r="R8" s="4">
        <f t="shared" si="5"/>
        <v>0</v>
      </c>
      <c r="S8" s="4">
        <f t="shared" si="5"/>
        <v>0</v>
      </c>
      <c r="T8" s="4">
        <f t="shared" si="5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0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0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0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8" ref="I15:T16">I16</f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-54566.28</v>
      </c>
      <c r="G18" s="4">
        <f>G19+G27</f>
        <v>-8433.79</v>
      </c>
      <c r="H18" s="7">
        <f t="shared" si="1"/>
        <v>-1714.0599999999997</v>
      </c>
      <c r="I18" s="40">
        <f>I19+I27</f>
        <v>-227.36</v>
      </c>
      <c r="J18" s="40">
        <f>J19+J27</f>
        <v>-191.18</v>
      </c>
      <c r="K18" s="40">
        <f>K19+K27</f>
        <v>-140.98</v>
      </c>
      <c r="L18" s="40">
        <f>L19+L27</f>
        <v>-105.27</v>
      </c>
      <c r="M18" s="40">
        <f aca="true" t="shared" si="9" ref="M18:T18">M19+M27</f>
        <v>-13.27</v>
      </c>
      <c r="N18" s="4">
        <f t="shared" si="9"/>
        <v>0</v>
      </c>
      <c r="O18" s="4">
        <f t="shared" si="9"/>
        <v>0</v>
      </c>
      <c r="P18" s="4">
        <f t="shared" si="9"/>
        <v>-67.97</v>
      </c>
      <c r="Q18" s="4">
        <f t="shared" si="9"/>
        <v>-151.57</v>
      </c>
      <c r="R18" s="4">
        <f t="shared" si="9"/>
        <v>-279.32</v>
      </c>
      <c r="S18" s="4">
        <f t="shared" si="9"/>
        <v>-295.54</v>
      </c>
      <c r="T18" s="4">
        <f t="shared" si="9"/>
        <v>-241.6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0</v>
      </c>
      <c r="G19" s="4">
        <f>G20+G26+G23</f>
        <v>0</v>
      </c>
      <c r="H19" s="7">
        <f t="shared" si="1"/>
        <v>0</v>
      </c>
      <c r="I19" s="40">
        <f>I20+I26+I23</f>
        <v>0</v>
      </c>
      <c r="J19" s="40">
        <f>J20+J26+J23</f>
        <v>0</v>
      </c>
      <c r="K19" s="40">
        <f>K20+K26+K23</f>
        <v>0</v>
      </c>
      <c r="L19" s="40">
        <f>L20+L26+L23</f>
        <v>0</v>
      </c>
      <c r="M19" s="40">
        <f aca="true" t="shared" si="10" ref="M19:T19">M20+M26+M23</f>
        <v>0</v>
      </c>
      <c r="N19" s="4">
        <f t="shared" si="10"/>
        <v>0</v>
      </c>
      <c r="O19" s="4">
        <f t="shared" si="10"/>
        <v>0</v>
      </c>
      <c r="P19" s="4">
        <f t="shared" si="10"/>
        <v>0</v>
      </c>
      <c r="Q19" s="4">
        <f t="shared" si="10"/>
        <v>0</v>
      </c>
      <c r="R19" s="4">
        <f t="shared" si="10"/>
        <v>0</v>
      </c>
      <c r="S19" s="4">
        <f t="shared" si="10"/>
        <v>0</v>
      </c>
      <c r="T19" s="4">
        <f t="shared" si="10"/>
        <v>0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0</v>
      </c>
      <c r="G20" s="4">
        <f>SUM(G21:G22)</f>
        <v>0</v>
      </c>
      <c r="H20" s="7">
        <f t="shared" si="1"/>
        <v>0</v>
      </c>
      <c r="I20" s="40">
        <f>SUM(I21:I22)</f>
        <v>0</v>
      </c>
      <c r="J20" s="40">
        <f>SUM(J21:J22)</f>
        <v>0</v>
      </c>
      <c r="K20" s="40">
        <f>SUM(K21:K22)</f>
        <v>0</v>
      </c>
      <c r="L20" s="40">
        <f>SUM(L21:L22)</f>
        <v>0</v>
      </c>
      <c r="M20" s="40">
        <f aca="true" t="shared" si="11" ref="M20:T20">SUM(M21:M22)</f>
        <v>0</v>
      </c>
      <c r="N20" s="4">
        <f t="shared" si="11"/>
        <v>0</v>
      </c>
      <c r="O20" s="4">
        <f t="shared" si="11"/>
        <v>0</v>
      </c>
      <c r="P20" s="4">
        <f t="shared" si="11"/>
        <v>0</v>
      </c>
      <c r="Q20" s="4">
        <f t="shared" si="11"/>
        <v>0</v>
      </c>
      <c r="R20" s="4">
        <f t="shared" si="11"/>
        <v>0</v>
      </c>
      <c r="S20" s="4">
        <f t="shared" si="11"/>
        <v>0</v>
      </c>
      <c r="T20" s="4">
        <f t="shared" si="11"/>
        <v>0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/>
      <c r="G21" s="13"/>
      <c r="H21" s="10">
        <f t="shared" si="1"/>
        <v>0</v>
      </c>
      <c r="I21" s="38"/>
      <c r="J21" s="38"/>
      <c r="K21" s="38"/>
      <c r="L21" s="38"/>
      <c r="M21" s="38"/>
      <c r="N21" s="13"/>
      <c r="O21" s="13"/>
      <c r="P21" s="13"/>
      <c r="Q21" s="13"/>
      <c r="R21" s="13"/>
      <c r="S21" s="13"/>
      <c r="T21" s="13"/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/>
      <c r="G26" s="4"/>
      <c r="H26" s="7">
        <f t="shared" si="1"/>
        <v>0</v>
      </c>
      <c r="I26" s="40"/>
      <c r="J26" s="40"/>
      <c r="K26" s="40"/>
      <c r="L26" s="40"/>
      <c r="M26" s="40"/>
      <c r="N26" s="4"/>
      <c r="O26" s="4"/>
      <c r="P26" s="4"/>
      <c r="Q26" s="4"/>
      <c r="R26" s="4"/>
      <c r="S26" s="4"/>
      <c r="T26" s="4"/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-54566.28</v>
      </c>
      <c r="G27" s="4">
        <f>SUM(G28:G41)</f>
        <v>-8433.79</v>
      </c>
      <c r="H27" s="7">
        <f t="shared" si="1"/>
        <v>-1714.0599999999997</v>
      </c>
      <c r="I27" s="40">
        <f>SUM(I28:I41)</f>
        <v>-227.36</v>
      </c>
      <c r="J27" s="40">
        <f aca="true" t="shared" si="13" ref="J27:T27">SUM(J28:J41)</f>
        <v>-191.18</v>
      </c>
      <c r="K27" s="40">
        <f t="shared" si="13"/>
        <v>-140.98</v>
      </c>
      <c r="L27" s="40">
        <f t="shared" si="13"/>
        <v>-105.27</v>
      </c>
      <c r="M27" s="40">
        <f t="shared" si="13"/>
        <v>-13.27</v>
      </c>
      <c r="N27" s="4">
        <f t="shared" si="13"/>
        <v>0</v>
      </c>
      <c r="O27" s="4">
        <f t="shared" si="13"/>
        <v>0</v>
      </c>
      <c r="P27" s="4">
        <f t="shared" si="13"/>
        <v>-67.97</v>
      </c>
      <c r="Q27" s="4">
        <f t="shared" si="13"/>
        <v>-151.57</v>
      </c>
      <c r="R27" s="4">
        <f t="shared" si="13"/>
        <v>-279.32</v>
      </c>
      <c r="S27" s="4">
        <f t="shared" si="13"/>
        <v>-295.54</v>
      </c>
      <c r="T27" s="4">
        <f t="shared" si="13"/>
        <v>-241.6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/>
      <c r="G28" s="13"/>
      <c r="H28" s="10">
        <f t="shared" si="1"/>
        <v>0</v>
      </c>
      <c r="I28" s="38"/>
      <c r="J28" s="38"/>
      <c r="K28" s="38"/>
      <c r="L28" s="38"/>
      <c r="M28" s="38"/>
      <c r="N28" s="13"/>
      <c r="O28" s="13"/>
      <c r="P28" s="13"/>
      <c r="Q28" s="13"/>
      <c r="R28" s="13"/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/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/>
      <c r="G31" s="13"/>
      <c r="H31" s="10">
        <f t="shared" si="1"/>
        <v>0</v>
      </c>
      <c r="I31" s="38"/>
      <c r="J31" s="38"/>
      <c r="K31" s="38"/>
      <c r="L31" s="38"/>
      <c r="M31" s="38"/>
      <c r="N31" s="13"/>
      <c r="O31" s="13"/>
      <c r="P31" s="13"/>
      <c r="Q31" s="13"/>
      <c r="R31" s="13"/>
      <c r="S31" s="13"/>
      <c r="T31" s="13"/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/>
      <c r="G32" s="13"/>
      <c r="H32" s="10">
        <f t="shared" si="1"/>
        <v>0</v>
      </c>
      <c r="I32" s="38"/>
      <c r="J32" s="38"/>
      <c r="K32" s="38"/>
      <c r="L32" s="38"/>
      <c r="M32" s="38"/>
      <c r="N32" s="13"/>
      <c r="O32" s="13"/>
      <c r="P32" s="13"/>
      <c r="Q32" s="13"/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-474.58</v>
      </c>
      <c r="G34" s="13"/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/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-54091.7</v>
      </c>
      <c r="G38" s="13">
        <v>-8433.79</v>
      </c>
      <c r="H38" s="10">
        <f t="shared" si="1"/>
        <v>-1714.0599999999997</v>
      </c>
      <c r="I38" s="38">
        <v>-227.36</v>
      </c>
      <c r="J38" s="38">
        <f>(J81+J84)*-1</f>
        <v>-191.18</v>
      </c>
      <c r="K38" s="38">
        <f>(K81+K84)*-1</f>
        <v>-140.98</v>
      </c>
      <c r="L38" s="38">
        <f>(L81+L84)*-1</f>
        <v>-105.27</v>
      </c>
      <c r="M38" s="38">
        <f aca="true" t="shared" si="14" ref="M38:T38">(M81+M84)*-1</f>
        <v>-13.27</v>
      </c>
      <c r="N38" s="13">
        <f t="shared" si="14"/>
        <v>0</v>
      </c>
      <c r="O38" s="13">
        <f t="shared" si="14"/>
        <v>0</v>
      </c>
      <c r="P38" s="13">
        <f t="shared" si="14"/>
        <v>-67.97</v>
      </c>
      <c r="Q38" s="13">
        <f t="shared" si="14"/>
        <v>-151.57</v>
      </c>
      <c r="R38" s="13">
        <f t="shared" si="14"/>
        <v>-279.32</v>
      </c>
      <c r="S38" s="13">
        <v>-295.54</v>
      </c>
      <c r="T38" s="13">
        <f t="shared" si="14"/>
        <v>-241.6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0</v>
      </c>
      <c r="G42" s="4">
        <f>G43+G48+G55+G58</f>
        <v>0</v>
      </c>
      <c r="H42" s="4">
        <f t="shared" si="1"/>
        <v>0</v>
      </c>
      <c r="I42" s="40">
        <f aca="true" t="shared" si="15" ref="I42:T42">I43+I48+I55+I58</f>
        <v>0</v>
      </c>
      <c r="J42" s="40">
        <f t="shared" si="15"/>
        <v>0</v>
      </c>
      <c r="K42" s="40">
        <f t="shared" si="15"/>
        <v>0</v>
      </c>
      <c r="L42" s="40">
        <f t="shared" si="15"/>
        <v>0</v>
      </c>
      <c r="M42" s="40">
        <f t="shared" si="15"/>
        <v>0</v>
      </c>
      <c r="N42" s="4">
        <f t="shared" si="15"/>
        <v>0</v>
      </c>
      <c r="O42" s="4">
        <f t="shared" si="15"/>
        <v>0</v>
      </c>
      <c r="P42" s="4">
        <f t="shared" si="15"/>
        <v>0</v>
      </c>
      <c r="Q42" s="4">
        <f t="shared" si="15"/>
        <v>0</v>
      </c>
      <c r="R42" s="4">
        <f>R43+R48+R55+R58</f>
        <v>0</v>
      </c>
      <c r="S42" s="4">
        <f t="shared" si="15"/>
        <v>0</v>
      </c>
      <c r="T42" s="4">
        <f t="shared" si="15"/>
        <v>0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0</v>
      </c>
      <c r="G43" s="4">
        <f>G44+G46+G47</f>
        <v>0</v>
      </c>
      <c r="H43" s="7">
        <f t="shared" si="1"/>
        <v>0</v>
      </c>
      <c r="I43" s="40">
        <f aca="true" t="shared" si="16" ref="I43:T43">I44+I46+I47</f>
        <v>0</v>
      </c>
      <c r="J43" s="40">
        <f t="shared" si="16"/>
        <v>0</v>
      </c>
      <c r="K43" s="40">
        <f t="shared" si="16"/>
        <v>0</v>
      </c>
      <c r="L43" s="40">
        <f t="shared" si="16"/>
        <v>0</v>
      </c>
      <c r="M43" s="40">
        <f t="shared" si="16"/>
        <v>0</v>
      </c>
      <c r="N43" s="4">
        <f t="shared" si="16"/>
        <v>0</v>
      </c>
      <c r="O43" s="4">
        <f t="shared" si="16"/>
        <v>0</v>
      </c>
      <c r="P43" s="4">
        <f t="shared" si="16"/>
        <v>0</v>
      </c>
      <c r="Q43" s="4">
        <f t="shared" si="16"/>
        <v>0</v>
      </c>
      <c r="R43" s="4">
        <f t="shared" si="16"/>
        <v>0</v>
      </c>
      <c r="S43" s="4">
        <f t="shared" si="16"/>
        <v>0</v>
      </c>
      <c r="T43" s="4">
        <f t="shared" si="16"/>
        <v>0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0</v>
      </c>
      <c r="G44" s="4">
        <f>G45</f>
        <v>0</v>
      </c>
      <c r="H44" s="7">
        <f t="shared" si="1"/>
        <v>0</v>
      </c>
      <c r="I44" s="40">
        <f>I45</f>
        <v>0</v>
      </c>
      <c r="J44" s="40">
        <f>J45</f>
        <v>0</v>
      </c>
      <c r="K44" s="40">
        <f>K45</f>
        <v>0</v>
      </c>
      <c r="L44" s="40">
        <f>L45</f>
        <v>0</v>
      </c>
      <c r="M44" s="40">
        <f aca="true" t="shared" si="17" ref="M44:T44">M45</f>
        <v>0</v>
      </c>
      <c r="N44" s="4">
        <f t="shared" si="17"/>
        <v>0</v>
      </c>
      <c r="O44" s="4">
        <f t="shared" si="17"/>
        <v>0</v>
      </c>
      <c r="P44" s="4">
        <f t="shared" si="17"/>
        <v>0</v>
      </c>
      <c r="Q44" s="4">
        <f t="shared" si="17"/>
        <v>0</v>
      </c>
      <c r="R44" s="4">
        <f t="shared" si="17"/>
        <v>0</v>
      </c>
      <c r="S44" s="4">
        <f t="shared" si="17"/>
        <v>0</v>
      </c>
      <c r="T44" s="4">
        <f t="shared" si="17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/>
      <c r="G45" s="13"/>
      <c r="H45" s="10">
        <f t="shared" si="1"/>
        <v>0</v>
      </c>
      <c r="I45" s="38"/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0</v>
      </c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0</v>
      </c>
      <c r="G48" s="4">
        <f>G54+G49</f>
        <v>0</v>
      </c>
      <c r="H48" s="7">
        <f t="shared" si="1"/>
        <v>0</v>
      </c>
      <c r="I48" s="40">
        <f>I54+I49</f>
        <v>0</v>
      </c>
      <c r="J48" s="40">
        <f>J54+J49</f>
        <v>0</v>
      </c>
      <c r="K48" s="40">
        <f>K54+K49</f>
        <v>0</v>
      </c>
      <c r="L48" s="40">
        <f>L54+L49</f>
        <v>0</v>
      </c>
      <c r="M48" s="40">
        <f aca="true" t="shared" si="18" ref="M48:T48">M54+M49</f>
        <v>0</v>
      </c>
      <c r="N48" s="4">
        <f t="shared" si="18"/>
        <v>0</v>
      </c>
      <c r="O48" s="4">
        <f t="shared" si="18"/>
        <v>0</v>
      </c>
      <c r="P48" s="4">
        <f t="shared" si="18"/>
        <v>0</v>
      </c>
      <c r="Q48" s="4">
        <f t="shared" si="18"/>
        <v>0</v>
      </c>
      <c r="R48" s="4">
        <f t="shared" si="18"/>
        <v>0</v>
      </c>
      <c r="S48" s="4">
        <f t="shared" si="18"/>
        <v>0</v>
      </c>
      <c r="T48" s="4">
        <f t="shared" si="18"/>
        <v>0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0</v>
      </c>
      <c r="G49" s="4">
        <f>SUM(G50:G53)</f>
        <v>0</v>
      </c>
      <c r="H49" s="7">
        <f t="shared" si="1"/>
        <v>0</v>
      </c>
      <c r="I49" s="40">
        <f>SUM(I50:I53)</f>
        <v>0</v>
      </c>
      <c r="J49" s="40">
        <f>SUM(J50:J53)</f>
        <v>0</v>
      </c>
      <c r="K49" s="40">
        <f>SUM(K50:K53)</f>
        <v>0</v>
      </c>
      <c r="L49" s="40">
        <f>SUM(L50:L53)</f>
        <v>0</v>
      </c>
      <c r="M49" s="40">
        <f aca="true" t="shared" si="19" ref="M49:T49">SUM(M50:M53)</f>
        <v>0</v>
      </c>
      <c r="N49" s="4">
        <f t="shared" si="19"/>
        <v>0</v>
      </c>
      <c r="O49" s="4">
        <f t="shared" si="19"/>
        <v>0</v>
      </c>
      <c r="P49" s="4">
        <f t="shared" si="19"/>
        <v>0</v>
      </c>
      <c r="Q49" s="4">
        <f t="shared" si="19"/>
        <v>0</v>
      </c>
      <c r="R49" s="4">
        <f t="shared" si="19"/>
        <v>0</v>
      </c>
      <c r="S49" s="4">
        <f t="shared" si="19"/>
        <v>0</v>
      </c>
      <c r="T49" s="4">
        <f t="shared" si="19"/>
        <v>0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/>
      <c r="G50" s="13"/>
      <c r="H50" s="10">
        <f t="shared" si="1"/>
        <v>0</v>
      </c>
      <c r="I50" s="38"/>
      <c r="J50" s="38"/>
      <c r="K50" s="38"/>
      <c r="L50" s="38"/>
      <c r="M50" s="38"/>
      <c r="N50" s="13"/>
      <c r="O50" s="13"/>
      <c r="P50" s="13"/>
      <c r="Q50" s="13"/>
      <c r="R50" s="13"/>
      <c r="S50" s="13"/>
      <c r="T50" s="13"/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/>
      <c r="H51" s="10">
        <f t="shared" si="1"/>
        <v>0</v>
      </c>
      <c r="I51" s="38"/>
      <c r="J51" s="38"/>
      <c r="K51" s="38"/>
      <c r="L51" s="38"/>
      <c r="M51" s="38"/>
      <c r="N51" s="13"/>
      <c r="O51" s="13"/>
      <c r="P51" s="13"/>
      <c r="Q51" s="13"/>
      <c r="R51" s="13"/>
      <c r="S51" s="13"/>
      <c r="T51" s="13"/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0</v>
      </c>
      <c r="H55" s="7">
        <f t="shared" si="1"/>
        <v>0</v>
      </c>
      <c r="I55" s="40">
        <f>I57+I56</f>
        <v>0</v>
      </c>
      <c r="J55" s="40">
        <f>J57+J56</f>
        <v>0</v>
      </c>
      <c r="K55" s="40">
        <f>K57+K56</f>
        <v>0</v>
      </c>
      <c r="L55" s="40">
        <f>L57+L56</f>
        <v>0</v>
      </c>
      <c r="M55" s="40">
        <f aca="true" t="shared" si="20" ref="M55:T55">M57+M56</f>
        <v>0</v>
      </c>
      <c r="N55" s="4">
        <f t="shared" si="20"/>
        <v>0</v>
      </c>
      <c r="O55" s="4">
        <f t="shared" si="20"/>
        <v>0</v>
      </c>
      <c r="P55" s="4">
        <f t="shared" si="20"/>
        <v>0</v>
      </c>
      <c r="Q55" s="4">
        <f t="shared" si="20"/>
        <v>0</v>
      </c>
      <c r="R55" s="4">
        <f t="shared" si="20"/>
        <v>0</v>
      </c>
      <c r="S55" s="4">
        <f t="shared" si="20"/>
        <v>0</v>
      </c>
      <c r="T55" s="4">
        <f t="shared" si="20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/>
      <c r="H56" s="7">
        <f t="shared" si="1"/>
        <v>0</v>
      </c>
      <c r="I56" s="40"/>
      <c r="J56" s="40"/>
      <c r="K56" s="40"/>
      <c r="L56" s="40"/>
      <c r="M56" s="40"/>
      <c r="N56" s="4"/>
      <c r="O56" s="4"/>
      <c r="P56" s="4"/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11764.790000000008</v>
      </c>
      <c r="G59" s="7">
        <f>G3+G15+G18+G42</f>
        <v>1056.6899999999987</v>
      </c>
      <c r="H59" s="7">
        <f t="shared" si="1"/>
        <v>305.88</v>
      </c>
      <c r="I59" s="43">
        <f>I3+I15+I18+I42</f>
        <v>20.589999999999975</v>
      </c>
      <c r="J59" s="43">
        <f>J3+J15+J18+J42</f>
        <v>15.72999999999999</v>
      </c>
      <c r="K59" s="43">
        <f>K3+K15+K18+K42</f>
        <v>27.77000000000001</v>
      </c>
      <c r="L59" s="43">
        <f>L3+L15+L18+L42</f>
        <v>20.78</v>
      </c>
      <c r="M59" s="43">
        <f aca="true" t="shared" si="21" ref="M59:T59">M3+M15+M18+M42</f>
        <v>2.030000000000001</v>
      </c>
      <c r="N59" s="7">
        <f t="shared" si="21"/>
        <v>0</v>
      </c>
      <c r="O59" s="7">
        <f t="shared" si="21"/>
        <v>0</v>
      </c>
      <c r="P59" s="7">
        <f t="shared" si="21"/>
        <v>13.620000000000005</v>
      </c>
      <c r="Q59" s="7">
        <f t="shared" si="21"/>
        <v>22.230000000000018</v>
      </c>
      <c r="R59" s="7">
        <f t="shared" si="21"/>
        <v>55.78000000000003</v>
      </c>
      <c r="S59" s="7">
        <f t="shared" si="21"/>
        <v>66.54999999999995</v>
      </c>
      <c r="T59" s="7">
        <f t="shared" si="21"/>
        <v>60.79999999999998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94</v>
      </c>
      <c r="O61" s="5" t="s">
        <v>95</v>
      </c>
      <c r="P61" s="5" t="s">
        <v>96</v>
      </c>
      <c r="Q61" s="5" t="s">
        <v>97</v>
      </c>
      <c r="R61" s="5" t="s">
        <v>98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0</v>
      </c>
      <c r="I62" s="44">
        <f>SUM(I63:I71)</f>
        <v>0</v>
      </c>
      <c r="J62" s="44">
        <f>SUM(J63:J71)</f>
        <v>0</v>
      </c>
      <c r="K62" s="44">
        <f>SUM(K63:K71)</f>
        <v>0</v>
      </c>
      <c r="L62" s="44">
        <f>SUM(L63:L71)</f>
        <v>0</v>
      </c>
      <c r="M62" s="44">
        <f aca="true" t="shared" si="22" ref="M62:T62">SUM(M63:M71)</f>
        <v>0</v>
      </c>
      <c r="N62">
        <f t="shared" si="22"/>
        <v>0</v>
      </c>
      <c r="O62">
        <f t="shared" si="22"/>
        <v>0</v>
      </c>
      <c r="P62">
        <f t="shared" si="22"/>
        <v>0</v>
      </c>
      <c r="Q62">
        <f t="shared" si="22"/>
        <v>0</v>
      </c>
      <c r="R62">
        <f t="shared" si="22"/>
        <v>0</v>
      </c>
      <c r="S62">
        <f t="shared" si="22"/>
        <v>0</v>
      </c>
      <c r="T62">
        <f t="shared" si="22"/>
        <v>0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0</v>
      </c>
      <c r="I63" s="46"/>
      <c r="J63" s="46"/>
      <c r="K63" s="46"/>
      <c r="L63" s="46"/>
      <c r="M63" s="46"/>
      <c r="N63" s="24"/>
      <c r="O63" s="24"/>
      <c r="P63" s="24"/>
      <c r="Q63" s="24"/>
      <c r="R63" s="24"/>
      <c r="S63" s="24"/>
      <c r="T63" s="24"/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3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3"/>
        <v>0</v>
      </c>
      <c r="I65" s="47"/>
      <c r="J65" s="47"/>
      <c r="K65" s="47"/>
      <c r="L65" s="47"/>
      <c r="M65" s="47"/>
      <c r="N65" s="27"/>
      <c r="O65" s="27"/>
      <c r="P65" s="27"/>
      <c r="Q65" s="27"/>
      <c r="R65" s="27"/>
      <c r="S65" s="27"/>
      <c r="T65" s="27"/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3"/>
        <v>0</v>
      </c>
      <c r="I66" s="47"/>
      <c r="J66" s="47"/>
      <c r="K66" s="47"/>
      <c r="L66" s="47"/>
      <c r="M66" s="47"/>
      <c r="N66" s="27"/>
      <c r="O66" s="27"/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3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3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3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0</v>
      </c>
      <c r="I72" s="24">
        <f aca="true" t="shared" si="24" ref="I72:T72">I62*33/100</f>
        <v>0</v>
      </c>
      <c r="J72" s="24">
        <f t="shared" si="24"/>
        <v>0</v>
      </c>
      <c r="K72" s="24">
        <f t="shared" si="24"/>
        <v>0</v>
      </c>
      <c r="L72" s="24">
        <f t="shared" si="24"/>
        <v>0</v>
      </c>
      <c r="M72" s="24">
        <f t="shared" si="24"/>
        <v>0</v>
      </c>
      <c r="N72" s="24">
        <f t="shared" si="24"/>
        <v>0</v>
      </c>
      <c r="O72" s="24">
        <f t="shared" si="24"/>
        <v>0</v>
      </c>
      <c r="P72" s="24">
        <f t="shared" si="24"/>
        <v>0</v>
      </c>
      <c r="Q72" s="24">
        <f t="shared" si="24"/>
        <v>0</v>
      </c>
      <c r="R72" s="24">
        <f t="shared" si="24"/>
        <v>0</v>
      </c>
      <c r="S72" s="24">
        <f t="shared" si="24"/>
        <v>0</v>
      </c>
      <c r="T72" s="24">
        <f t="shared" si="24"/>
        <v>0</v>
      </c>
    </row>
    <row r="73" spans="5:20" ht="12.75">
      <c r="E73" s="28" t="s">
        <v>74</v>
      </c>
      <c r="F73" s="28"/>
      <c r="G73" s="28"/>
      <c r="H73" s="21">
        <f>SUM(I73:T73)</f>
        <v>0</v>
      </c>
      <c r="I73" s="24">
        <f aca="true" t="shared" si="25" ref="I73:T73">1.4*I62/100</f>
        <v>0</v>
      </c>
      <c r="J73" s="24">
        <f t="shared" si="25"/>
        <v>0</v>
      </c>
      <c r="K73" s="24">
        <f t="shared" si="25"/>
        <v>0</v>
      </c>
      <c r="L73" s="24">
        <f t="shared" si="25"/>
        <v>0</v>
      </c>
      <c r="M73" s="24">
        <f t="shared" si="25"/>
        <v>0</v>
      </c>
      <c r="N73" s="24">
        <f t="shared" si="25"/>
        <v>0</v>
      </c>
      <c r="O73" s="24">
        <f t="shared" si="25"/>
        <v>0</v>
      </c>
      <c r="P73" s="24">
        <f t="shared" si="25"/>
        <v>0</v>
      </c>
      <c r="Q73" s="24">
        <f t="shared" si="25"/>
        <v>0</v>
      </c>
      <c r="R73" s="24">
        <f t="shared" si="25"/>
        <v>0</v>
      </c>
      <c r="S73" s="24">
        <f t="shared" si="25"/>
        <v>0</v>
      </c>
      <c r="T73" s="24">
        <f t="shared" si="25"/>
        <v>0</v>
      </c>
    </row>
    <row r="74" spans="6:20" ht="12.75">
      <c r="F74" s="29"/>
      <c r="G74" s="29"/>
      <c r="H74" s="21">
        <f>SUM(I74:T74)</f>
        <v>0</v>
      </c>
      <c r="I74" s="24">
        <f aca="true" t="shared" si="26" ref="I74:T74">I62+I72+I73</f>
        <v>0</v>
      </c>
      <c r="J74" s="24">
        <f t="shared" si="26"/>
        <v>0</v>
      </c>
      <c r="K74" s="24">
        <f t="shared" si="26"/>
        <v>0</v>
      </c>
      <c r="L74" s="24">
        <f t="shared" si="26"/>
        <v>0</v>
      </c>
      <c r="M74" s="24">
        <f t="shared" si="26"/>
        <v>0</v>
      </c>
      <c r="N74" s="24">
        <f t="shared" si="26"/>
        <v>0</v>
      </c>
      <c r="O74" s="24">
        <f t="shared" si="26"/>
        <v>0</v>
      </c>
      <c r="P74" s="24">
        <f t="shared" si="26"/>
        <v>0</v>
      </c>
      <c r="Q74" s="24">
        <f t="shared" si="26"/>
        <v>0</v>
      </c>
      <c r="R74" s="24">
        <f t="shared" si="26"/>
        <v>0</v>
      </c>
      <c r="S74" s="24">
        <f t="shared" si="26"/>
        <v>0</v>
      </c>
      <c r="T74" s="24">
        <f t="shared" si="26"/>
        <v>0</v>
      </c>
    </row>
    <row r="75" spans="5:20" ht="12.75">
      <c r="E75" s="30" t="s">
        <v>75</v>
      </c>
      <c r="H75" s="21" t="s">
        <v>76</v>
      </c>
      <c r="I75" s="48"/>
      <c r="J75" s="48"/>
      <c r="K75" s="48"/>
      <c r="L75" s="48"/>
      <c r="M75" s="48"/>
      <c r="N75" s="31">
        <v>1.7</v>
      </c>
      <c r="O75" s="31"/>
      <c r="P75" s="31">
        <v>2.05</v>
      </c>
      <c r="Q75" s="31">
        <f>Q78/Q77</f>
        <v>1.90989010989011</v>
      </c>
      <c r="R75" s="31">
        <f>R78/R77</f>
        <v>1.9258620689655175</v>
      </c>
      <c r="S75" s="31">
        <f>S78/S77</f>
        <v>1.9260106382978721</v>
      </c>
      <c r="T75" s="31">
        <f>T78/T77</f>
        <v>1.9261146496815285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163</v>
      </c>
      <c r="H77" s="7">
        <f>SUM(I77:T77)</f>
        <v>1080</v>
      </c>
      <c r="I77" s="32">
        <v>145</v>
      </c>
      <c r="J77" s="32">
        <v>121</v>
      </c>
      <c r="K77" s="32">
        <v>89</v>
      </c>
      <c r="L77" s="32">
        <v>66</v>
      </c>
      <c r="M77" s="32">
        <v>8</v>
      </c>
      <c r="N77" s="1">
        <v>0</v>
      </c>
      <c r="O77" s="1"/>
      <c r="P77" s="1">
        <v>41</v>
      </c>
      <c r="Q77" s="1">
        <v>91</v>
      </c>
      <c r="R77" s="1">
        <v>174</v>
      </c>
      <c r="S77" s="1">
        <v>188</v>
      </c>
      <c r="T77" s="1">
        <v>157</v>
      </c>
    </row>
    <row r="78" spans="1:20" ht="12.75">
      <c r="A78" s="1"/>
      <c r="B78" s="1"/>
      <c r="C78" s="1"/>
      <c r="D78" s="1"/>
      <c r="E78" s="32" t="s">
        <v>78</v>
      </c>
      <c r="H78" s="7">
        <f>SUM(I78:T78)</f>
        <v>2019.9399999999996</v>
      </c>
      <c r="I78" s="40">
        <v>247.95</v>
      </c>
      <c r="J78" s="40">
        <v>206.91</v>
      </c>
      <c r="K78" s="40">
        <v>168.75</v>
      </c>
      <c r="L78" s="40">
        <v>126.05</v>
      </c>
      <c r="M78" s="40">
        <v>15.3</v>
      </c>
      <c r="N78" s="4">
        <f>N77*N75</f>
        <v>0</v>
      </c>
      <c r="O78" s="4">
        <f>O77*O75</f>
        <v>0</v>
      </c>
      <c r="P78" s="4">
        <v>81.59</v>
      </c>
      <c r="Q78" s="4">
        <v>173.8</v>
      </c>
      <c r="R78" s="4">
        <v>335.1</v>
      </c>
      <c r="S78" s="4">
        <v>362.09</v>
      </c>
      <c r="T78" s="4">
        <v>302.4</v>
      </c>
    </row>
    <row r="79" spans="1:20" ht="18">
      <c r="A79" s="1"/>
      <c r="B79" s="1"/>
      <c r="C79" s="1"/>
      <c r="D79" s="1"/>
      <c r="E79" s="33" t="s">
        <v>164</v>
      </c>
      <c r="F79" s="2"/>
      <c r="G79" s="2"/>
      <c r="H79" s="7"/>
      <c r="I79" s="38">
        <f aca="true" t="shared" si="27" ref="I79:T79">I81/I80</f>
        <v>1.568</v>
      </c>
      <c r="J79" s="38">
        <f t="shared" si="27"/>
        <v>1.58</v>
      </c>
      <c r="K79" s="38">
        <f t="shared" si="27"/>
        <v>1.5840449438202246</v>
      </c>
      <c r="L79" s="38">
        <f t="shared" si="27"/>
        <v>1.595</v>
      </c>
      <c r="M79" s="38">
        <f t="shared" si="27"/>
        <v>1.65875</v>
      </c>
      <c r="N79" s="38" t="e">
        <f t="shared" si="27"/>
        <v>#DIV/0!</v>
      </c>
      <c r="O79" s="38" t="e">
        <f t="shared" si="27"/>
        <v>#DIV/0!</v>
      </c>
      <c r="P79" s="38">
        <f t="shared" si="27"/>
        <v>1.6578048780487804</v>
      </c>
      <c r="Q79" s="38">
        <f t="shared" si="27"/>
        <v>1.6656043956043955</v>
      </c>
      <c r="R79" s="38">
        <f t="shared" si="27"/>
        <v>1.605287356321839</v>
      </c>
      <c r="S79" s="38">
        <f t="shared" si="27"/>
        <v>1.5720212765957449</v>
      </c>
      <c r="T79" s="38">
        <f t="shared" si="27"/>
        <v>1.5388535031847133</v>
      </c>
    </row>
    <row r="80" spans="1:20" ht="12.75">
      <c r="A80" s="1"/>
      <c r="B80" s="1"/>
      <c r="C80" s="1"/>
      <c r="D80" s="1"/>
      <c r="E80" s="32" t="s">
        <v>162</v>
      </c>
      <c r="H80" s="7">
        <f aca="true" t="shared" si="28" ref="H80:H92">SUM(I80:T80)</f>
        <v>1080</v>
      </c>
      <c r="I80" s="38">
        <v>145</v>
      </c>
      <c r="J80" s="38">
        <v>121</v>
      </c>
      <c r="K80" s="38">
        <v>89</v>
      </c>
      <c r="L80" s="38">
        <v>66</v>
      </c>
      <c r="M80" s="38">
        <v>8</v>
      </c>
      <c r="N80" s="13"/>
      <c r="O80" s="13"/>
      <c r="P80" s="13">
        <v>41</v>
      </c>
      <c r="Q80" s="13">
        <v>91</v>
      </c>
      <c r="R80" s="13">
        <v>174</v>
      </c>
      <c r="S80" s="13">
        <v>188</v>
      </c>
      <c r="T80" s="13">
        <v>157</v>
      </c>
    </row>
    <row r="81" spans="1:20" ht="12.75">
      <c r="A81" s="1"/>
      <c r="B81" s="1"/>
      <c r="C81" s="1"/>
      <c r="D81" s="1"/>
      <c r="E81" s="32" t="s">
        <v>81</v>
      </c>
      <c r="F81" s="22"/>
      <c r="G81" s="22"/>
      <c r="H81" s="7">
        <f t="shared" si="28"/>
        <v>1714.0599999999997</v>
      </c>
      <c r="I81" s="40">
        <v>227.36</v>
      </c>
      <c r="J81" s="40">
        <v>191.18</v>
      </c>
      <c r="K81" s="40">
        <v>140.98</v>
      </c>
      <c r="L81" s="40">
        <v>105.27</v>
      </c>
      <c r="M81" s="40">
        <v>13.27</v>
      </c>
      <c r="N81" s="4"/>
      <c r="O81" s="4"/>
      <c r="P81" s="4">
        <v>67.97</v>
      </c>
      <c r="Q81" s="4">
        <v>151.57</v>
      </c>
      <c r="R81" s="4">
        <v>279.32</v>
      </c>
      <c r="S81" s="4">
        <v>295.54</v>
      </c>
      <c r="T81" s="4">
        <v>241.6</v>
      </c>
    </row>
    <row r="82" spans="1:20" ht="12.75">
      <c r="A82" s="1"/>
      <c r="B82" s="1"/>
      <c r="C82" s="1"/>
      <c r="D82" s="1"/>
      <c r="E82" s="33"/>
      <c r="F82" s="22"/>
      <c r="G82" s="22"/>
      <c r="H82" s="7">
        <f t="shared" si="28"/>
        <v>0</v>
      </c>
      <c r="I82" s="38"/>
      <c r="J82" s="38"/>
      <c r="K82" s="38"/>
      <c r="L82" s="38"/>
      <c r="M82" s="38"/>
      <c r="N82" s="13"/>
      <c r="O82" s="13"/>
      <c r="P82" s="13"/>
      <c r="Q82" s="13"/>
      <c r="R82" s="13"/>
      <c r="S82" s="13"/>
      <c r="T82" s="13"/>
    </row>
    <row r="83" spans="1:20" ht="12.75">
      <c r="A83" s="1"/>
      <c r="B83" s="1"/>
      <c r="C83" s="1"/>
      <c r="D83" s="1"/>
      <c r="E83" s="32"/>
      <c r="F83" s="26"/>
      <c r="G83" s="26"/>
      <c r="H83" s="7">
        <f t="shared" si="28"/>
        <v>0</v>
      </c>
      <c r="I83" s="32"/>
      <c r="J83" s="32"/>
      <c r="K83" s="32"/>
      <c r="L83" s="32"/>
      <c r="M83" s="32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32"/>
      <c r="F84" s="26"/>
      <c r="G84" s="26"/>
      <c r="H84" s="7">
        <f t="shared" si="28"/>
        <v>0</v>
      </c>
      <c r="I84" s="40">
        <f>I82*I83</f>
        <v>0</v>
      </c>
      <c r="J84" s="40">
        <f>J82*J83</f>
        <v>0</v>
      </c>
      <c r="K84" s="40">
        <f>K82*K83</f>
        <v>0</v>
      </c>
      <c r="L84" s="40">
        <f>L82*L83</f>
        <v>0</v>
      </c>
      <c r="M84" s="40">
        <f aca="true" t="shared" si="29" ref="M84:T84">M82*M83</f>
        <v>0</v>
      </c>
      <c r="N84" s="4">
        <f t="shared" si="29"/>
        <v>0</v>
      </c>
      <c r="O84" s="4">
        <f t="shared" si="29"/>
        <v>0</v>
      </c>
      <c r="P84" s="4">
        <f t="shared" si="29"/>
        <v>0</v>
      </c>
      <c r="Q84" s="4">
        <f t="shared" si="29"/>
        <v>0</v>
      </c>
      <c r="R84" s="4">
        <f t="shared" si="29"/>
        <v>0</v>
      </c>
      <c r="S84" s="4">
        <f t="shared" si="29"/>
        <v>0</v>
      </c>
      <c r="T84" s="4">
        <f t="shared" si="29"/>
        <v>0</v>
      </c>
    </row>
    <row r="85" spans="6:9" ht="12.75">
      <c r="F85" s="26"/>
      <c r="G85" s="26" t="s">
        <v>83</v>
      </c>
      <c r="H85" s="7">
        <f t="shared" si="28"/>
        <v>0</v>
      </c>
      <c r="I85" s="44"/>
    </row>
    <row r="86" spans="1:20" ht="18">
      <c r="A86" s="1"/>
      <c r="B86" s="1"/>
      <c r="C86" s="1"/>
      <c r="D86" s="1"/>
      <c r="E86" s="2"/>
      <c r="H86" s="3">
        <f t="shared" si="28"/>
        <v>0</v>
      </c>
      <c r="I86" s="40" t="s">
        <v>89</v>
      </c>
      <c r="J86" s="40" t="s">
        <v>90</v>
      </c>
      <c r="K86" s="40" t="s">
        <v>91</v>
      </c>
      <c r="L86" s="45" t="s">
        <v>92</v>
      </c>
      <c r="M86" s="40" t="s">
        <v>93</v>
      </c>
      <c r="N86" s="4" t="s">
        <v>94</v>
      </c>
      <c r="O86" s="4" t="s">
        <v>95</v>
      </c>
      <c r="P86" s="5" t="s">
        <v>96</v>
      </c>
      <c r="Q86" s="4" t="s">
        <v>97</v>
      </c>
      <c r="R86" s="4" t="s">
        <v>98</v>
      </c>
      <c r="S86" s="4" t="s">
        <v>99</v>
      </c>
      <c r="T86" s="5" t="s">
        <v>100</v>
      </c>
    </row>
    <row r="87" spans="5:20" ht="12.75">
      <c r="E87" s="18" t="s">
        <v>84</v>
      </c>
      <c r="H87" s="21">
        <f t="shared" si="28"/>
        <v>0</v>
      </c>
      <c r="I87" s="44">
        <f>SUM(I88:I93)</f>
        <v>0</v>
      </c>
      <c r="J87" s="44">
        <f>SUM(J88:J93)</f>
        <v>0</v>
      </c>
      <c r="K87" s="44">
        <f>SUM(K88:K93)</f>
        <v>0</v>
      </c>
      <c r="L87" s="44">
        <f>SUM(L88:L93)</f>
        <v>0</v>
      </c>
      <c r="M87" s="44">
        <f aca="true" t="shared" si="30" ref="M87:T87">SUM(M88:M93)</f>
        <v>0</v>
      </c>
      <c r="N87">
        <f t="shared" si="30"/>
        <v>0</v>
      </c>
      <c r="O87">
        <f t="shared" si="30"/>
        <v>0</v>
      </c>
      <c r="P87">
        <f t="shared" si="30"/>
        <v>0</v>
      </c>
      <c r="Q87">
        <f t="shared" si="30"/>
        <v>0</v>
      </c>
      <c r="R87">
        <f t="shared" si="30"/>
        <v>0</v>
      </c>
      <c r="S87">
        <f t="shared" si="30"/>
        <v>0</v>
      </c>
      <c r="T87">
        <f t="shared" si="30"/>
        <v>0</v>
      </c>
    </row>
    <row r="88" spans="1:13" s="25" customFormat="1" ht="12.75">
      <c r="A88" s="22"/>
      <c r="B88" s="22"/>
      <c r="C88" s="22"/>
      <c r="D88" s="22"/>
      <c r="E88" s="22" t="s">
        <v>85</v>
      </c>
      <c r="F88" s="18"/>
      <c r="G88" s="18"/>
      <c r="H88" s="23">
        <f t="shared" si="28"/>
        <v>0</v>
      </c>
      <c r="I88" s="49"/>
      <c r="J88" s="49"/>
      <c r="K88" s="49"/>
      <c r="L88" s="49"/>
      <c r="M88" s="49"/>
    </row>
    <row r="89" spans="1:13" s="25" customFormat="1" ht="12.75">
      <c r="A89" s="22"/>
      <c r="B89" s="22"/>
      <c r="C89" s="22"/>
      <c r="D89" s="22"/>
      <c r="E89" s="22" t="s">
        <v>86</v>
      </c>
      <c r="F89" s="18"/>
      <c r="G89" s="18"/>
      <c r="H89" s="23">
        <f t="shared" si="28"/>
        <v>0</v>
      </c>
      <c r="I89" s="49"/>
      <c r="J89" s="49"/>
      <c r="K89" s="49"/>
      <c r="L89" s="49"/>
      <c r="M89" s="49"/>
    </row>
    <row r="90" spans="1:13" s="25" customFormat="1" ht="12.75">
      <c r="A90" s="22"/>
      <c r="B90" s="22"/>
      <c r="C90" s="22"/>
      <c r="D90" s="22"/>
      <c r="E90" s="26" t="s">
        <v>107</v>
      </c>
      <c r="F90" s="18"/>
      <c r="G90" s="18"/>
      <c r="H90" s="23">
        <f t="shared" si="28"/>
        <v>0</v>
      </c>
      <c r="I90" s="49"/>
      <c r="J90" s="49"/>
      <c r="K90" s="49"/>
      <c r="L90" s="49"/>
      <c r="M90" s="49"/>
    </row>
    <row r="91" spans="1:13" s="25" customFormat="1" ht="12.75">
      <c r="A91" s="22"/>
      <c r="B91" s="22"/>
      <c r="C91" s="22"/>
      <c r="D91" s="22"/>
      <c r="E91" s="26" t="s">
        <v>87</v>
      </c>
      <c r="F91" s="18"/>
      <c r="G91" s="18"/>
      <c r="H91" s="23">
        <f t="shared" si="28"/>
        <v>0</v>
      </c>
      <c r="I91" s="49"/>
      <c r="J91" s="49"/>
      <c r="K91" s="49"/>
      <c r="L91" s="49"/>
      <c r="M91" s="49"/>
    </row>
    <row r="92" spans="1:13" s="25" customFormat="1" ht="12.75">
      <c r="A92" s="22"/>
      <c r="B92" s="22"/>
      <c r="C92" s="22"/>
      <c r="D92" s="22"/>
      <c r="E92" s="26" t="s">
        <v>88</v>
      </c>
      <c r="F92" s="18"/>
      <c r="G92" s="18"/>
      <c r="H92" s="23">
        <f t="shared" si="28"/>
        <v>0</v>
      </c>
      <c r="I92" s="49"/>
      <c r="J92" s="49"/>
      <c r="K92" s="49"/>
      <c r="L92" s="49"/>
      <c r="M92" s="49"/>
    </row>
    <row r="93" ht="12.75">
      <c r="I93" s="44"/>
    </row>
    <row r="94" ht="12.75">
      <c r="I94" s="44"/>
    </row>
    <row r="95" ht="12.75">
      <c r="I95" s="44"/>
    </row>
    <row r="96" ht="12.75">
      <c r="I96" s="44"/>
    </row>
    <row r="97" ht="12.75">
      <c r="I97" s="44"/>
    </row>
    <row r="98" ht="12.75">
      <c r="I98" s="44"/>
    </row>
    <row r="99" ht="12.75">
      <c r="I99" s="44"/>
    </row>
    <row r="100" ht="12.75">
      <c r="I100" s="44"/>
    </row>
    <row r="101" ht="12.75"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3"/>
  <headerFooter alignWithMargins="0">
    <oddHeader>&amp;C&amp;F  &amp;D&amp;RTänavavalgustus Kuusalus Vallale &amp;A</oddHeader>
    <oddFooter>&amp;C&amp;F  &amp;D&amp;RTänavavalgustus Kuusalu vallale tegevusala kood  &amp;A</oddFooter>
  </headerFooter>
  <rowBreaks count="1" manualBreakCount="1">
    <brk id="60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82"/>
  <sheetViews>
    <sheetView zoomScalePageLayoutView="0" workbookViewId="0" topLeftCell="A1">
      <pane xSplit="8" ySplit="2" topLeftCell="Q33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U22" sqref="U22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265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94</v>
      </c>
      <c r="O2" s="5" t="s">
        <v>95</v>
      </c>
      <c r="P2" s="5" t="s">
        <v>96</v>
      </c>
      <c r="Q2" s="5" t="s">
        <v>97</v>
      </c>
      <c r="R2" s="5" t="s">
        <v>262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82686.64</v>
      </c>
      <c r="G3" s="4">
        <f>G4+G8+G12</f>
        <v>74651.91</v>
      </c>
      <c r="H3" s="7">
        <f>SUM(I3:T3)</f>
        <v>518959.02</v>
      </c>
      <c r="I3" s="40">
        <f>I4+I8+I12</f>
        <v>4484.9</v>
      </c>
      <c r="J3" s="40">
        <f>J4+J8+J12</f>
        <v>3423.5</v>
      </c>
      <c r="K3" s="40">
        <f>K4+K8+K12</f>
        <v>3671.9</v>
      </c>
      <c r="L3" s="40">
        <f>L4+L8+L12</f>
        <v>3815.5499999999997</v>
      </c>
      <c r="M3" s="40">
        <f aca="true" t="shared" si="0" ref="M3:T3">M4+M8+M12</f>
        <v>282871.23</v>
      </c>
      <c r="N3" s="4">
        <f t="shared" si="0"/>
        <v>21607.69</v>
      </c>
      <c r="O3" s="4">
        <f t="shared" si="0"/>
        <v>17169.65</v>
      </c>
      <c r="P3" s="4">
        <f t="shared" si="0"/>
        <v>13482.03</v>
      </c>
      <c r="Q3" s="4">
        <f t="shared" si="0"/>
        <v>155322.97</v>
      </c>
      <c r="R3" s="4">
        <f t="shared" si="0"/>
        <v>4279.25</v>
      </c>
      <c r="S3" s="4">
        <f t="shared" si="0"/>
        <v>4504.55</v>
      </c>
      <c r="T3" s="4">
        <f t="shared" si="0"/>
        <v>4325.8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82686.64</v>
      </c>
      <c r="G4" s="4">
        <f>G5</f>
        <v>74651.91</v>
      </c>
      <c r="H4" s="7">
        <f aca="true" t="shared" si="1" ref="H4:H60">SUM(I4:T4)</f>
        <v>109629.54000000001</v>
      </c>
      <c r="I4" s="40">
        <f>I5</f>
        <v>4484.9</v>
      </c>
      <c r="J4" s="40">
        <f>J5</f>
        <v>3423.5</v>
      </c>
      <c r="K4" s="40">
        <f>K5</f>
        <v>3671.9</v>
      </c>
      <c r="L4" s="40">
        <f>L5</f>
        <v>3815.5499999999997</v>
      </c>
      <c r="M4" s="40">
        <f aca="true" t="shared" si="2" ref="M4:T4">M5</f>
        <v>15705.75</v>
      </c>
      <c r="N4" s="4">
        <f t="shared" si="2"/>
        <v>21607.69</v>
      </c>
      <c r="O4" s="4">
        <f t="shared" si="2"/>
        <v>17169.65</v>
      </c>
      <c r="P4" s="4">
        <f t="shared" si="2"/>
        <v>13482.03</v>
      </c>
      <c r="Q4" s="4">
        <f t="shared" si="2"/>
        <v>13158.970000000001</v>
      </c>
      <c r="R4" s="4">
        <f t="shared" si="2"/>
        <v>4279.25</v>
      </c>
      <c r="S4" s="4">
        <f t="shared" si="2"/>
        <v>4504.55</v>
      </c>
      <c r="T4" s="4">
        <f t="shared" si="2"/>
        <v>4325.8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82686.64</v>
      </c>
      <c r="G5" s="4">
        <f>G7</f>
        <v>74651.91</v>
      </c>
      <c r="H5" s="7">
        <f t="shared" si="1"/>
        <v>109629.54000000001</v>
      </c>
      <c r="I5" s="40">
        <f>I7</f>
        <v>4484.9</v>
      </c>
      <c r="J5" s="40">
        <f>J7</f>
        <v>3423.5</v>
      </c>
      <c r="K5" s="40">
        <f>K7</f>
        <v>3671.9</v>
      </c>
      <c r="L5" s="40">
        <f>L7</f>
        <v>3815.5499999999997</v>
      </c>
      <c r="M5" s="40">
        <f aca="true" t="shared" si="3" ref="M5:T5">M7</f>
        <v>15705.75</v>
      </c>
      <c r="N5" s="4">
        <f t="shared" si="3"/>
        <v>21607.69</v>
      </c>
      <c r="O5" s="4">
        <f t="shared" si="3"/>
        <v>17169.65</v>
      </c>
      <c r="P5" s="4">
        <f t="shared" si="3"/>
        <v>13482.03</v>
      </c>
      <c r="Q5" s="4">
        <f t="shared" si="3"/>
        <v>13158.970000000001</v>
      </c>
      <c r="R5" s="4">
        <f t="shared" si="3"/>
        <v>4279.25</v>
      </c>
      <c r="S5" s="4">
        <f t="shared" si="3"/>
        <v>4504.55</v>
      </c>
      <c r="T5" s="4">
        <f t="shared" si="3"/>
        <v>4325.8</v>
      </c>
    </row>
    <row r="6" spans="1:20" s="11" customFormat="1" ht="11.25">
      <c r="A6" s="8"/>
      <c r="B6" s="8"/>
      <c r="C6" s="8"/>
      <c r="D6" s="8"/>
      <c r="E6" s="8"/>
      <c r="F6" s="9">
        <v>0</v>
      </c>
      <c r="G6" s="9">
        <v>0</v>
      </c>
      <c r="H6" s="10">
        <f t="shared" si="1"/>
        <v>0</v>
      </c>
      <c r="I6" s="41"/>
      <c r="J6" s="41"/>
      <c r="K6" s="41"/>
      <c r="L6" s="41"/>
      <c r="M6" s="41"/>
      <c r="N6" s="9"/>
      <c r="O6" s="9"/>
      <c r="P6" s="9"/>
      <c r="Q6" s="9"/>
      <c r="R6" s="9"/>
      <c r="S6" s="9"/>
      <c r="T6" s="9"/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82686.64</v>
      </c>
      <c r="G7" s="13">
        <v>74651.91</v>
      </c>
      <c r="H7" s="10">
        <f t="shared" si="1"/>
        <v>109629.54000000001</v>
      </c>
      <c r="I7" s="38">
        <f>I92</f>
        <v>4484.9</v>
      </c>
      <c r="J7" s="38">
        <f>J92</f>
        <v>3423.5</v>
      </c>
      <c r="K7" s="38">
        <f>K92</f>
        <v>3671.9</v>
      </c>
      <c r="L7" s="38">
        <f>L92</f>
        <v>3815.5499999999997</v>
      </c>
      <c r="M7" s="38">
        <v>15705.75</v>
      </c>
      <c r="N7" s="13">
        <v>21607.69</v>
      </c>
      <c r="O7" s="13">
        <v>17169.65</v>
      </c>
      <c r="P7" s="13">
        <v>13482.03</v>
      </c>
      <c r="Q7" s="13">
        <f>Q92</f>
        <v>13158.970000000001</v>
      </c>
      <c r="R7" s="13">
        <f>R92</f>
        <v>4279.25</v>
      </c>
      <c r="S7" s="13">
        <v>4504.55</v>
      </c>
      <c r="T7" s="13">
        <f>T92</f>
        <v>4325.8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4" ref="M8:T8">M9+M11</f>
        <v>0</v>
      </c>
      <c r="N8" s="4">
        <f t="shared" si="4"/>
        <v>0</v>
      </c>
      <c r="O8" s="4">
        <f t="shared" si="4"/>
        <v>0</v>
      </c>
      <c r="P8" s="4">
        <f t="shared" si="4"/>
        <v>0</v>
      </c>
      <c r="Q8" s="4">
        <f t="shared" si="4"/>
        <v>0</v>
      </c>
      <c r="R8" s="4">
        <f t="shared" si="4"/>
        <v>0</v>
      </c>
      <c r="S8" s="4">
        <f t="shared" si="4"/>
        <v>0</v>
      </c>
      <c r="T8" s="4">
        <f t="shared" si="4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5" ref="M9:T9">M10</f>
        <v>0</v>
      </c>
      <c r="N9" s="4">
        <f t="shared" si="5"/>
        <v>0</v>
      </c>
      <c r="O9" s="4">
        <f t="shared" si="5"/>
        <v>0</v>
      </c>
      <c r="P9" s="4">
        <f t="shared" si="5"/>
        <v>0</v>
      </c>
      <c r="Q9" s="4">
        <f t="shared" si="5"/>
        <v>0</v>
      </c>
      <c r="R9" s="4">
        <f t="shared" si="5"/>
        <v>0</v>
      </c>
      <c r="S9" s="4">
        <f t="shared" si="5"/>
        <v>0</v>
      </c>
      <c r="T9" s="4">
        <f t="shared" si="5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0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409329.48</v>
      </c>
      <c r="I12" s="40">
        <f aca="true" t="shared" si="6" ref="I12:T13">I13</f>
        <v>0</v>
      </c>
      <c r="J12" s="40">
        <f t="shared" si="6"/>
        <v>0</v>
      </c>
      <c r="K12" s="40">
        <f t="shared" si="6"/>
        <v>0</v>
      </c>
      <c r="L12" s="40">
        <f t="shared" si="6"/>
        <v>0</v>
      </c>
      <c r="M12" s="40">
        <f t="shared" si="6"/>
        <v>267165.48</v>
      </c>
      <c r="N12" s="4">
        <f t="shared" si="6"/>
        <v>0</v>
      </c>
      <c r="O12" s="4">
        <f t="shared" si="6"/>
        <v>0</v>
      </c>
      <c r="P12" s="4">
        <f t="shared" si="6"/>
        <v>0</v>
      </c>
      <c r="Q12" s="4">
        <f t="shared" si="6"/>
        <v>142164</v>
      </c>
      <c r="R12" s="4">
        <f t="shared" si="6"/>
        <v>0</v>
      </c>
      <c r="S12" s="4">
        <f t="shared" si="6"/>
        <v>0</v>
      </c>
      <c r="T12" s="4">
        <f t="shared" si="6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409329.48</v>
      </c>
      <c r="I13" s="40">
        <f t="shared" si="6"/>
        <v>0</v>
      </c>
      <c r="J13" s="40">
        <f t="shared" si="6"/>
        <v>0</v>
      </c>
      <c r="K13" s="40">
        <f t="shared" si="6"/>
        <v>0</v>
      </c>
      <c r="L13" s="40">
        <f t="shared" si="6"/>
        <v>0</v>
      </c>
      <c r="M13" s="40">
        <f t="shared" si="6"/>
        <v>267165.48</v>
      </c>
      <c r="N13" s="4">
        <f t="shared" si="6"/>
        <v>0</v>
      </c>
      <c r="O13" s="4">
        <f t="shared" si="6"/>
        <v>0</v>
      </c>
      <c r="P13" s="4">
        <f t="shared" si="6"/>
        <v>0</v>
      </c>
      <c r="Q13" s="4">
        <f t="shared" si="6"/>
        <v>142164</v>
      </c>
      <c r="R13" s="4">
        <f t="shared" si="6"/>
        <v>0</v>
      </c>
      <c r="S13" s="4">
        <f t="shared" si="6"/>
        <v>0</v>
      </c>
      <c r="T13" s="4">
        <f t="shared" si="6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409329.48</v>
      </c>
      <c r="I14" s="38"/>
      <c r="J14" s="38"/>
      <c r="K14" s="38"/>
      <c r="L14" s="38"/>
      <c r="M14" s="38">
        <v>267165.48</v>
      </c>
      <c r="N14" s="13"/>
      <c r="O14" s="13"/>
      <c r="P14" s="13"/>
      <c r="Q14" s="13">
        <v>142164</v>
      </c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7" ref="I15:T16">I16</f>
        <v>0</v>
      </c>
      <c r="J15" s="40">
        <f t="shared" si="7"/>
        <v>0</v>
      </c>
      <c r="K15" s="40">
        <f t="shared" si="7"/>
        <v>0</v>
      </c>
      <c r="L15" s="40">
        <f t="shared" si="7"/>
        <v>0</v>
      </c>
      <c r="M15" s="40">
        <f t="shared" si="7"/>
        <v>0</v>
      </c>
      <c r="N15" s="4">
        <f t="shared" si="7"/>
        <v>0</v>
      </c>
      <c r="O15" s="4">
        <f t="shared" si="7"/>
        <v>0</v>
      </c>
      <c r="P15" s="4">
        <f t="shared" si="7"/>
        <v>0</v>
      </c>
      <c r="Q15" s="4">
        <f t="shared" si="7"/>
        <v>0</v>
      </c>
      <c r="R15" s="4">
        <f t="shared" si="7"/>
        <v>0</v>
      </c>
      <c r="S15" s="4">
        <f t="shared" si="7"/>
        <v>0</v>
      </c>
      <c r="T15" s="4">
        <f t="shared" si="7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7"/>
        <v>0</v>
      </c>
      <c r="J16" s="40">
        <f t="shared" si="7"/>
        <v>0</v>
      </c>
      <c r="K16" s="40">
        <f t="shared" si="7"/>
        <v>0</v>
      </c>
      <c r="L16" s="40">
        <f t="shared" si="7"/>
        <v>0</v>
      </c>
      <c r="M16" s="40">
        <f t="shared" si="7"/>
        <v>0</v>
      </c>
      <c r="N16" s="4">
        <f t="shared" si="7"/>
        <v>0</v>
      </c>
      <c r="O16" s="4">
        <f t="shared" si="7"/>
        <v>0</v>
      </c>
      <c r="P16" s="4">
        <f t="shared" si="7"/>
        <v>0</v>
      </c>
      <c r="Q16" s="4">
        <f t="shared" si="7"/>
        <v>0</v>
      </c>
      <c r="R16" s="4">
        <f t="shared" si="7"/>
        <v>0</v>
      </c>
      <c r="S16" s="4">
        <f t="shared" si="7"/>
        <v>0</v>
      </c>
      <c r="T16" s="4">
        <f t="shared" si="7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-60165.55</v>
      </c>
      <c r="G18" s="4">
        <f>G19+G27</f>
        <v>-48622.11</v>
      </c>
      <c r="H18" s="7">
        <f t="shared" si="1"/>
        <v>-73073.56</v>
      </c>
      <c r="I18" s="40">
        <f>I19+I27</f>
        <v>-8959.740000000002</v>
      </c>
      <c r="J18" s="40">
        <f>J19+J27</f>
        <v>-6543.469999999999</v>
      </c>
      <c r="K18" s="40">
        <f>K19+K27</f>
        <v>-6336.780000000001</v>
      </c>
      <c r="L18" s="40">
        <f>L19+L27</f>
        <v>-4572.15</v>
      </c>
      <c r="M18" s="40">
        <f aca="true" t="shared" si="8" ref="M18:T18">M19+M27</f>
        <v>-4022.1900000000005</v>
      </c>
      <c r="N18" s="4">
        <f t="shared" si="8"/>
        <v>-5096.5199999999995</v>
      </c>
      <c r="O18" s="4">
        <f t="shared" si="8"/>
        <v>-2441.41</v>
      </c>
      <c r="P18" s="4">
        <f t="shared" si="8"/>
        <v>-18731.48</v>
      </c>
      <c r="Q18" s="4">
        <f t="shared" si="8"/>
        <v>-3455.81</v>
      </c>
      <c r="R18" s="4">
        <f t="shared" si="8"/>
        <v>-3319.5299999999997</v>
      </c>
      <c r="S18" s="4">
        <f t="shared" si="8"/>
        <v>-3150.66</v>
      </c>
      <c r="T18" s="4">
        <f t="shared" si="8"/>
        <v>-6443.82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-21509.87</v>
      </c>
      <c r="G19" s="4">
        <f>G20+G26+G23</f>
        <v>-20142.75</v>
      </c>
      <c r="H19" s="7">
        <f t="shared" si="1"/>
        <v>-18630.45</v>
      </c>
      <c r="I19" s="40">
        <f>I20+I26+I23</f>
        <v>-1624.25</v>
      </c>
      <c r="J19" s="40">
        <f>J20+J26+J23</f>
        <v>-1552.55</v>
      </c>
      <c r="K19" s="40">
        <f>K20+K26+K23</f>
        <v>-1947.9</v>
      </c>
      <c r="L19" s="40">
        <f>L20+L26+L23</f>
        <v>-1739.15</v>
      </c>
      <c r="M19" s="40">
        <f aca="true" t="shared" si="9" ref="M19:T19">M20+M26+M23</f>
        <v>-1490.2</v>
      </c>
      <c r="N19" s="4">
        <f t="shared" si="9"/>
        <v>-1476</v>
      </c>
      <c r="O19" s="4">
        <f t="shared" si="9"/>
        <v>-1674.25</v>
      </c>
      <c r="P19" s="4">
        <f t="shared" si="9"/>
        <v>-1300</v>
      </c>
      <c r="Q19" s="4">
        <f t="shared" si="9"/>
        <v>-1600.3</v>
      </c>
      <c r="R19" s="4">
        <f t="shared" si="9"/>
        <v>-1458.9</v>
      </c>
      <c r="S19" s="4">
        <f t="shared" si="9"/>
        <v>-1495.05</v>
      </c>
      <c r="T19" s="4">
        <f t="shared" si="9"/>
        <v>-1271.9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-16138.47</v>
      </c>
      <c r="G20" s="4">
        <f>SUM(G21:G22)</f>
        <v>-15048.75</v>
      </c>
      <c r="H20" s="7">
        <f t="shared" si="1"/>
        <v>-13865.449999999997</v>
      </c>
      <c r="I20" s="40">
        <f>SUM(I21:I22)</f>
        <v>-1208.25</v>
      </c>
      <c r="J20" s="40">
        <f>SUM(J21:J22)</f>
        <v>-1154.55</v>
      </c>
      <c r="K20" s="40">
        <f>SUM(K21:K22)</f>
        <v>-1449.9</v>
      </c>
      <c r="L20" s="40">
        <f>SUM(L21:L22)</f>
        <v>-1293.15</v>
      </c>
      <c r="M20" s="40">
        <f aca="true" t="shared" si="10" ref="M20:T20">SUM(M21:M22)</f>
        <v>-1108.2</v>
      </c>
      <c r="N20" s="4">
        <f t="shared" si="10"/>
        <v>-1098</v>
      </c>
      <c r="O20" s="4">
        <f t="shared" si="10"/>
        <v>-1245.25</v>
      </c>
      <c r="P20" s="4">
        <f t="shared" si="10"/>
        <v>-967</v>
      </c>
      <c r="Q20" s="4">
        <f t="shared" si="10"/>
        <v>-1192.3</v>
      </c>
      <c r="R20" s="4">
        <f t="shared" si="10"/>
        <v>-1089.9</v>
      </c>
      <c r="S20" s="4">
        <f t="shared" si="10"/>
        <v>-1112.05</v>
      </c>
      <c r="T20" s="4">
        <f t="shared" si="10"/>
        <v>-946.9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-16138.47</v>
      </c>
      <c r="G21" s="13">
        <v>-15048.75</v>
      </c>
      <c r="H21" s="10">
        <f t="shared" si="1"/>
        <v>-13865.449999999997</v>
      </c>
      <c r="I21" s="38">
        <v>-1208.25</v>
      </c>
      <c r="J21" s="38">
        <v>-1154.55</v>
      </c>
      <c r="K21" s="38">
        <v>-1449.9</v>
      </c>
      <c r="L21" s="38">
        <v>-1293.15</v>
      </c>
      <c r="M21" s="38">
        <v>-1108.2</v>
      </c>
      <c r="N21" s="13">
        <v>-1098</v>
      </c>
      <c r="O21" s="13">
        <f>O62*-1</f>
        <v>-1245.25</v>
      </c>
      <c r="P21" s="13">
        <f>P62*-1</f>
        <v>-967</v>
      </c>
      <c r="Q21" s="13">
        <f>Q62*-1</f>
        <v>-1192.3</v>
      </c>
      <c r="R21" s="13">
        <f>R62*-1</f>
        <v>-1089.9</v>
      </c>
      <c r="S21" s="13">
        <v>-1112.05</v>
      </c>
      <c r="T21" s="13">
        <v>-946.9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1" ref="M23:T23">SUM(M24:M25)</f>
        <v>0</v>
      </c>
      <c r="N23" s="15">
        <f t="shared" si="11"/>
        <v>0</v>
      </c>
      <c r="O23" s="15">
        <f t="shared" si="11"/>
        <v>0</v>
      </c>
      <c r="P23" s="15">
        <f t="shared" si="11"/>
        <v>0</v>
      </c>
      <c r="Q23" s="15">
        <f t="shared" si="11"/>
        <v>0</v>
      </c>
      <c r="R23" s="15">
        <f t="shared" si="11"/>
        <v>0</v>
      </c>
      <c r="S23" s="15">
        <f t="shared" si="11"/>
        <v>0</v>
      </c>
      <c r="T23" s="15">
        <f t="shared" si="11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-5371.4</v>
      </c>
      <c r="G26" s="4">
        <v>-5094</v>
      </c>
      <c r="H26" s="7">
        <f t="shared" si="1"/>
        <v>-4765</v>
      </c>
      <c r="I26" s="40">
        <v>-416</v>
      </c>
      <c r="J26" s="40">
        <v>-398</v>
      </c>
      <c r="K26" s="40">
        <v>-498</v>
      </c>
      <c r="L26" s="40">
        <v>-446</v>
      </c>
      <c r="M26" s="40">
        <v>-382</v>
      </c>
      <c r="N26" s="4">
        <v>-378</v>
      </c>
      <c r="O26" s="4">
        <v>-429</v>
      </c>
      <c r="P26" s="4">
        <v>-333</v>
      </c>
      <c r="Q26" s="4">
        <f>(Q72+Q73)*-1</f>
        <v>-408</v>
      </c>
      <c r="R26" s="4">
        <v>-369</v>
      </c>
      <c r="S26" s="4">
        <v>-383</v>
      </c>
      <c r="T26" s="4">
        <v>-325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-38655.68</v>
      </c>
      <c r="G27" s="4">
        <f>SUM(G28:G41)</f>
        <v>-28479.359999999997</v>
      </c>
      <c r="H27" s="7">
        <f t="shared" si="1"/>
        <v>-54443.11</v>
      </c>
      <c r="I27" s="40">
        <f>SUM(I28:I41)</f>
        <v>-7335.490000000001</v>
      </c>
      <c r="J27" s="40">
        <f aca="true" t="shared" si="12" ref="J27:T27">SUM(J28:J41)</f>
        <v>-4990.919999999999</v>
      </c>
      <c r="K27" s="40">
        <f t="shared" si="12"/>
        <v>-4388.88</v>
      </c>
      <c r="L27" s="40">
        <f t="shared" si="12"/>
        <v>-2833</v>
      </c>
      <c r="M27" s="40">
        <f t="shared" si="12"/>
        <v>-2531.9900000000002</v>
      </c>
      <c r="N27" s="4">
        <f t="shared" si="12"/>
        <v>-3620.5199999999995</v>
      </c>
      <c r="O27" s="4">
        <f t="shared" si="12"/>
        <v>-767.1600000000001</v>
      </c>
      <c r="P27" s="4">
        <f t="shared" si="12"/>
        <v>-17431.48</v>
      </c>
      <c r="Q27" s="4">
        <f t="shared" si="12"/>
        <v>-1855.51</v>
      </c>
      <c r="R27" s="4">
        <f t="shared" si="12"/>
        <v>-1860.6299999999999</v>
      </c>
      <c r="S27" s="4">
        <f t="shared" si="12"/>
        <v>-1655.61</v>
      </c>
      <c r="T27" s="4">
        <f t="shared" si="12"/>
        <v>-5171.92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/>
      <c r="G28" s="13">
        <v>-108</v>
      </c>
      <c r="H28" s="10">
        <f t="shared" si="1"/>
        <v>-1319.5</v>
      </c>
      <c r="I28" s="38">
        <v>-91</v>
      </c>
      <c r="J28" s="38"/>
      <c r="K28" s="38"/>
      <c r="L28" s="38">
        <v>-20</v>
      </c>
      <c r="M28" s="38">
        <v>-675</v>
      </c>
      <c r="N28" s="13"/>
      <c r="O28" s="13"/>
      <c r="P28" s="13"/>
      <c r="Q28" s="13">
        <v>-533.5</v>
      </c>
      <c r="R28" s="13"/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>
        <v>-65.1</v>
      </c>
      <c r="G29" s="13">
        <v>-2300</v>
      </c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-34110.43</v>
      </c>
      <c r="G30" s="13">
        <v>-21079.73</v>
      </c>
      <c r="H30" s="10">
        <f t="shared" si="1"/>
        <v>-48664.56</v>
      </c>
      <c r="I30" s="38">
        <v>-7067.01</v>
      </c>
      <c r="J30" s="38">
        <v>-4930.19</v>
      </c>
      <c r="K30" s="38">
        <v>-4210.12</v>
      </c>
      <c r="L30" s="38">
        <v>-2791.12</v>
      </c>
      <c r="M30" s="38">
        <v>-1401.8</v>
      </c>
      <c r="N30" s="13">
        <v>-3488.2</v>
      </c>
      <c r="O30" s="13">
        <v>-745.71</v>
      </c>
      <c r="P30" s="13">
        <v>-17426.41</v>
      </c>
      <c r="Q30" s="13">
        <v>-1266.96</v>
      </c>
      <c r="R30" s="13">
        <v>-1727.87</v>
      </c>
      <c r="S30" s="13">
        <v>-1446.75</v>
      </c>
      <c r="T30" s="13">
        <v>-2162.42</v>
      </c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-350</v>
      </c>
      <c r="G31" s="13">
        <v>-4267.76</v>
      </c>
      <c r="H31" s="10">
        <f t="shared" si="1"/>
        <v>-3187.5</v>
      </c>
      <c r="I31" s="38">
        <v>-122.72</v>
      </c>
      <c r="J31" s="38"/>
      <c r="K31" s="38">
        <v>-102.13</v>
      </c>
      <c r="L31" s="38"/>
      <c r="M31" s="38"/>
      <c r="N31" s="13">
        <v>-53.85</v>
      </c>
      <c r="O31" s="13"/>
      <c r="P31" s="13"/>
      <c r="Q31" s="13"/>
      <c r="R31" s="13"/>
      <c r="S31" s="13"/>
      <c r="T31" s="13">
        <v>-2908.8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-985.83</v>
      </c>
      <c r="G32" s="13">
        <v>-684.87</v>
      </c>
      <c r="H32" s="10">
        <f t="shared" si="1"/>
        <v>-451.91999999999996</v>
      </c>
      <c r="I32" s="38">
        <v>-54.76</v>
      </c>
      <c r="J32" s="38">
        <v>-60.73</v>
      </c>
      <c r="K32" s="38">
        <v>-76.63</v>
      </c>
      <c r="L32" s="38">
        <v>-21.88</v>
      </c>
      <c r="M32" s="38">
        <v>-38.52</v>
      </c>
      <c r="N32" s="13">
        <v>-78.47</v>
      </c>
      <c r="O32" s="13">
        <v>-14.45</v>
      </c>
      <c r="P32" s="13">
        <v>-5.07</v>
      </c>
      <c r="Q32" s="13">
        <v>-55.05</v>
      </c>
      <c r="R32" s="13">
        <v>-20.09</v>
      </c>
      <c r="S32" s="13">
        <v>-17.57</v>
      </c>
      <c r="T32" s="13">
        <v>-8.7</v>
      </c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/>
      <c r="G34" s="13"/>
      <c r="H34" s="10">
        <f t="shared" si="1"/>
        <v>-433.34000000000003</v>
      </c>
      <c r="I34" s="38"/>
      <c r="J34" s="38"/>
      <c r="K34" s="38"/>
      <c r="L34" s="38"/>
      <c r="M34" s="38">
        <v>-416.67</v>
      </c>
      <c r="N34" s="13"/>
      <c r="O34" s="13"/>
      <c r="P34" s="13"/>
      <c r="Q34" s="13"/>
      <c r="R34" s="13">
        <v>-16.67</v>
      </c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>
        <v>-2311.86</v>
      </c>
      <c r="G35" s="13"/>
      <c r="H35" s="10">
        <f t="shared" si="1"/>
        <v>-195</v>
      </c>
      <c r="I35" s="38"/>
      <c r="J35" s="38"/>
      <c r="K35" s="38"/>
      <c r="L35" s="38"/>
      <c r="M35" s="38"/>
      <c r="N35" s="13"/>
      <c r="O35" s="13">
        <v>-7</v>
      </c>
      <c r="P35" s="13"/>
      <c r="Q35" s="13"/>
      <c r="R35" s="13">
        <v>-96</v>
      </c>
      <c r="S35" s="13"/>
      <c r="T35" s="13">
        <v>-92</v>
      </c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-39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0</v>
      </c>
      <c r="G38" s="13"/>
      <c r="H38" s="10">
        <f t="shared" si="1"/>
        <v>0</v>
      </c>
      <c r="I38" s="38"/>
      <c r="J38" s="38">
        <f>(J96+J99)*-1</f>
        <v>0</v>
      </c>
      <c r="K38" s="38">
        <f>(K96+K99)*-1</f>
        <v>0</v>
      </c>
      <c r="L38" s="38">
        <f>(L96+L99)*-1</f>
        <v>0</v>
      </c>
      <c r="M38" s="38">
        <f aca="true" t="shared" si="13" ref="M38:T38">(M96+M99)*-1</f>
        <v>0</v>
      </c>
      <c r="N38" s="13">
        <f t="shared" si="13"/>
        <v>0</v>
      </c>
      <c r="O38" s="13">
        <f t="shared" si="13"/>
        <v>0</v>
      </c>
      <c r="P38" s="13">
        <f t="shared" si="13"/>
        <v>0</v>
      </c>
      <c r="Q38" s="13">
        <f t="shared" si="13"/>
        <v>0</v>
      </c>
      <c r="R38" s="13">
        <f t="shared" si="13"/>
        <v>0</v>
      </c>
      <c r="S38" s="13">
        <f t="shared" si="13"/>
        <v>0</v>
      </c>
      <c r="T38" s="13">
        <f t="shared" si="13"/>
        <v>0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-832.46</v>
      </c>
      <c r="G39" s="13"/>
      <c r="H39" s="10">
        <f t="shared" si="1"/>
        <v>-31.29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>
        <v>-31.29</v>
      </c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-160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>
        <v>-160</v>
      </c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109.94999999999982</v>
      </c>
      <c r="G42" s="4">
        <f>G43+G48+G55+G58</f>
        <v>-6491.320000000001</v>
      </c>
      <c r="H42" s="4">
        <f t="shared" si="1"/>
        <v>-7164.72</v>
      </c>
      <c r="I42" s="40">
        <f aca="true" t="shared" si="14" ref="I42:T42">I43+I48+I55+I58</f>
        <v>-219</v>
      </c>
      <c r="J42" s="40">
        <f t="shared" si="14"/>
        <v>-677</v>
      </c>
      <c r="K42" s="40">
        <f t="shared" si="14"/>
        <v>-219</v>
      </c>
      <c r="L42" s="40">
        <f t="shared" si="14"/>
        <v>-238.97</v>
      </c>
      <c r="M42" s="40">
        <f t="shared" si="14"/>
        <v>-235.87</v>
      </c>
      <c r="N42" s="4">
        <f t="shared" si="14"/>
        <v>-201.77</v>
      </c>
      <c r="O42" s="4">
        <f t="shared" si="14"/>
        <v>-198.66</v>
      </c>
      <c r="P42" s="4">
        <f t="shared" si="14"/>
        <v>-195.56</v>
      </c>
      <c r="Q42" s="4">
        <f t="shared" si="14"/>
        <v>-272.45</v>
      </c>
      <c r="R42" s="4">
        <f>R43+R48+R55+R58</f>
        <v>-181.35</v>
      </c>
      <c r="S42" s="4">
        <f t="shared" si="14"/>
        <v>-179.42</v>
      </c>
      <c r="T42" s="4">
        <f t="shared" si="14"/>
        <v>-4345.67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2722.95</v>
      </c>
      <c r="G43" s="4">
        <f>G44+G46+G47</f>
        <v>-4774.4400000000005</v>
      </c>
      <c r="H43" s="7">
        <f t="shared" si="1"/>
        <v>-4697.36</v>
      </c>
      <c r="I43" s="40">
        <f aca="true" t="shared" si="15" ref="I43:T43">I44+I46+I47</f>
        <v>0</v>
      </c>
      <c r="J43" s="40">
        <f t="shared" si="15"/>
        <v>-461</v>
      </c>
      <c r="K43" s="40">
        <f t="shared" si="15"/>
        <v>0</v>
      </c>
      <c r="L43" s="40">
        <f t="shared" si="15"/>
        <v>0</v>
      </c>
      <c r="M43" s="40">
        <f t="shared" si="15"/>
        <v>0</v>
      </c>
      <c r="N43" s="4">
        <f t="shared" si="15"/>
        <v>0</v>
      </c>
      <c r="O43" s="4">
        <f t="shared" si="15"/>
        <v>0</v>
      </c>
      <c r="P43" s="4">
        <f t="shared" si="15"/>
        <v>0</v>
      </c>
      <c r="Q43" s="4">
        <f t="shared" si="15"/>
        <v>-72</v>
      </c>
      <c r="R43" s="4">
        <f t="shared" si="15"/>
        <v>0</v>
      </c>
      <c r="S43" s="4">
        <f t="shared" si="15"/>
        <v>0</v>
      </c>
      <c r="T43" s="4">
        <f t="shared" si="15"/>
        <v>-4164.36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-461</v>
      </c>
      <c r="G44" s="4">
        <f>G45</f>
        <v>-1211</v>
      </c>
      <c r="H44" s="7">
        <f t="shared" si="1"/>
        <v>-533</v>
      </c>
      <c r="I44" s="40">
        <f>I45</f>
        <v>0</v>
      </c>
      <c r="J44" s="40">
        <f>J45</f>
        <v>-461</v>
      </c>
      <c r="K44" s="40">
        <f>K45</f>
        <v>0</v>
      </c>
      <c r="L44" s="40">
        <f>L45</f>
        <v>0</v>
      </c>
      <c r="M44" s="40">
        <f aca="true" t="shared" si="16" ref="M44:T44">M45</f>
        <v>0</v>
      </c>
      <c r="N44" s="4">
        <f t="shared" si="16"/>
        <v>0</v>
      </c>
      <c r="O44" s="4">
        <f t="shared" si="16"/>
        <v>0</v>
      </c>
      <c r="P44" s="4">
        <f t="shared" si="16"/>
        <v>0</v>
      </c>
      <c r="Q44" s="4">
        <f t="shared" si="16"/>
        <v>-72</v>
      </c>
      <c r="R44" s="4">
        <f t="shared" si="16"/>
        <v>0</v>
      </c>
      <c r="S44" s="4">
        <f t="shared" si="16"/>
        <v>0</v>
      </c>
      <c r="T44" s="4">
        <f t="shared" si="16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-461</v>
      </c>
      <c r="G45" s="13">
        <v>-1211</v>
      </c>
      <c r="H45" s="10">
        <f t="shared" si="1"/>
        <v>-533</v>
      </c>
      <c r="I45" s="38"/>
      <c r="J45" s="38">
        <v>-461</v>
      </c>
      <c r="K45" s="38"/>
      <c r="L45" s="38"/>
      <c r="M45" s="38"/>
      <c r="N45" s="13"/>
      <c r="O45" s="13"/>
      <c r="P45" s="13"/>
      <c r="Q45" s="13">
        <v>-72</v>
      </c>
      <c r="R45" s="13"/>
      <c r="S45" s="13"/>
      <c r="T45" s="13"/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3183.95</v>
      </c>
      <c r="G46" s="15">
        <v>-3563.44</v>
      </c>
      <c r="H46" s="7">
        <f t="shared" si="1"/>
        <v>-4164.36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>
        <v>-4164.36</v>
      </c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-2613</v>
      </c>
      <c r="G48" s="4">
        <f>G54+G49</f>
        <v>-2614</v>
      </c>
      <c r="H48" s="7">
        <f t="shared" si="1"/>
        <v>-2435</v>
      </c>
      <c r="I48" s="40">
        <f>I54+I49</f>
        <v>-219</v>
      </c>
      <c r="J48" s="40">
        <f>J54+J49</f>
        <v>-216</v>
      </c>
      <c r="K48" s="40">
        <f>K54+K49</f>
        <v>-219</v>
      </c>
      <c r="L48" s="40">
        <f>L54+L49</f>
        <v>-235</v>
      </c>
      <c r="M48" s="40">
        <f aca="true" t="shared" si="17" ref="M48:T48">M54+M49</f>
        <v>-232</v>
      </c>
      <c r="N48" s="4">
        <f t="shared" si="17"/>
        <v>-198</v>
      </c>
      <c r="O48" s="4">
        <f t="shared" si="17"/>
        <v>-195</v>
      </c>
      <c r="P48" s="4">
        <f t="shared" si="17"/>
        <v>-192</v>
      </c>
      <c r="Q48" s="4">
        <f t="shared" si="17"/>
        <v>-197</v>
      </c>
      <c r="R48" s="4">
        <f t="shared" si="17"/>
        <v>-178</v>
      </c>
      <c r="S48" s="4">
        <f t="shared" si="17"/>
        <v>-176</v>
      </c>
      <c r="T48" s="4">
        <f t="shared" si="17"/>
        <v>-178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-2613</v>
      </c>
      <c r="G49" s="4">
        <f>SUM(G50:G53)</f>
        <v>-2614</v>
      </c>
      <c r="H49" s="7">
        <f t="shared" si="1"/>
        <v>-2435</v>
      </c>
      <c r="I49" s="40">
        <f>SUM(I50:I53)</f>
        <v>-219</v>
      </c>
      <c r="J49" s="40">
        <f>SUM(J50:J53)</f>
        <v>-216</v>
      </c>
      <c r="K49" s="40">
        <f>SUM(K50:K53)</f>
        <v>-219</v>
      </c>
      <c r="L49" s="40">
        <f>SUM(L50:L53)</f>
        <v>-235</v>
      </c>
      <c r="M49" s="40">
        <f aca="true" t="shared" si="18" ref="M49:T49">SUM(M50:M53)</f>
        <v>-232</v>
      </c>
      <c r="N49" s="4">
        <f t="shared" si="18"/>
        <v>-198</v>
      </c>
      <c r="O49" s="4">
        <f t="shared" si="18"/>
        <v>-195</v>
      </c>
      <c r="P49" s="4">
        <f t="shared" si="18"/>
        <v>-192</v>
      </c>
      <c r="Q49" s="4">
        <f t="shared" si="18"/>
        <v>-197</v>
      </c>
      <c r="R49" s="4">
        <f t="shared" si="18"/>
        <v>-178</v>
      </c>
      <c r="S49" s="4">
        <f t="shared" si="18"/>
        <v>-176</v>
      </c>
      <c r="T49" s="4">
        <f t="shared" si="18"/>
        <v>-178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-2613</v>
      </c>
      <c r="G50" s="13">
        <f>-236-2378</f>
        <v>-2614</v>
      </c>
      <c r="H50" s="10">
        <f t="shared" si="1"/>
        <v>-2285</v>
      </c>
      <c r="I50" s="38">
        <v>-219</v>
      </c>
      <c r="J50" s="38">
        <v>-216</v>
      </c>
      <c r="K50" s="38">
        <v>-219</v>
      </c>
      <c r="L50" s="38">
        <v>-218</v>
      </c>
      <c r="M50" s="38">
        <v>-216</v>
      </c>
      <c r="N50" s="13">
        <v>-181</v>
      </c>
      <c r="O50" s="13">
        <v>-178</v>
      </c>
      <c r="P50" s="13">
        <v>-176</v>
      </c>
      <c r="Q50" s="13">
        <v>-180</v>
      </c>
      <c r="R50" s="13">
        <v>-161</v>
      </c>
      <c r="S50" s="13">
        <v>-160</v>
      </c>
      <c r="T50" s="13">
        <v>-161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/>
      <c r="H51" s="10">
        <f t="shared" si="1"/>
        <v>-150</v>
      </c>
      <c r="I51" s="38"/>
      <c r="J51" s="38"/>
      <c r="K51" s="38"/>
      <c r="L51" s="38">
        <v>-17</v>
      </c>
      <c r="M51" s="38">
        <v>-16</v>
      </c>
      <c r="N51" s="13">
        <v>-17</v>
      </c>
      <c r="O51" s="13">
        <v>-17</v>
      </c>
      <c r="P51" s="13">
        <v>-16</v>
      </c>
      <c r="Q51" s="13">
        <v>-17</v>
      </c>
      <c r="R51" s="13">
        <v>-17</v>
      </c>
      <c r="S51" s="13">
        <v>-16</v>
      </c>
      <c r="T51" s="13">
        <v>-17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897.12</v>
      </c>
      <c r="H55" s="7">
        <f t="shared" si="1"/>
        <v>-32.36</v>
      </c>
      <c r="I55" s="40">
        <f>I57+I56</f>
        <v>0</v>
      </c>
      <c r="J55" s="40">
        <f>J57+J56</f>
        <v>0</v>
      </c>
      <c r="K55" s="40">
        <f>K57+K56</f>
        <v>0</v>
      </c>
      <c r="L55" s="40">
        <f>L57+L56</f>
        <v>-3.97</v>
      </c>
      <c r="M55" s="40">
        <f aca="true" t="shared" si="19" ref="M55:T55">M57+M56</f>
        <v>-3.87</v>
      </c>
      <c r="N55" s="4">
        <f t="shared" si="19"/>
        <v>-3.77</v>
      </c>
      <c r="O55" s="4">
        <f t="shared" si="19"/>
        <v>-3.66</v>
      </c>
      <c r="P55" s="4">
        <f t="shared" si="19"/>
        <v>-3.56</v>
      </c>
      <c r="Q55" s="4">
        <f t="shared" si="19"/>
        <v>-3.45</v>
      </c>
      <c r="R55" s="4">
        <f t="shared" si="19"/>
        <v>-3.35</v>
      </c>
      <c r="S55" s="4">
        <f t="shared" si="19"/>
        <v>-3.42</v>
      </c>
      <c r="T55" s="4">
        <f t="shared" si="19"/>
        <v>-3.31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/>
      <c r="H56" s="7">
        <f t="shared" si="1"/>
        <v>-32.36</v>
      </c>
      <c r="I56" s="40"/>
      <c r="J56" s="40"/>
      <c r="K56" s="40"/>
      <c r="L56" s="40">
        <v>-3.97</v>
      </c>
      <c r="M56" s="40">
        <v>-3.87</v>
      </c>
      <c r="N56" s="4">
        <v>-3.77</v>
      </c>
      <c r="O56" s="4">
        <v>-3.66</v>
      </c>
      <c r="P56" s="4">
        <v>-3.56</v>
      </c>
      <c r="Q56" s="4">
        <v>-3.45</v>
      </c>
      <c r="R56" s="4">
        <v>-3.35</v>
      </c>
      <c r="S56" s="4">
        <v>-3.42</v>
      </c>
      <c r="T56" s="4">
        <v>-3.31</v>
      </c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>
        <v>897.12</v>
      </c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22631.039999999997</v>
      </c>
      <c r="G59" s="7">
        <f>G3+G15+G18+G42</f>
        <v>19538.480000000003</v>
      </c>
      <c r="H59" s="7">
        <f t="shared" si="1"/>
        <v>438720.73999999993</v>
      </c>
      <c r="I59" s="43">
        <f>I3+I15+I18+I42</f>
        <v>-4693.840000000002</v>
      </c>
      <c r="J59" s="43">
        <f>J3+J15+J18+J42</f>
        <v>-3796.9699999999993</v>
      </c>
      <c r="K59" s="43">
        <f>K3+K15+K18+K42</f>
        <v>-2883.8800000000006</v>
      </c>
      <c r="L59" s="43">
        <f>L3+L15+L18+L42</f>
        <v>-995.5699999999999</v>
      </c>
      <c r="M59" s="43">
        <f aca="true" t="shared" si="20" ref="M59:T59">M3+M15+M18+M42</f>
        <v>278613.17</v>
      </c>
      <c r="N59" s="7">
        <f t="shared" si="20"/>
        <v>16309.399999999998</v>
      </c>
      <c r="O59" s="7">
        <f t="shared" si="20"/>
        <v>14529.580000000002</v>
      </c>
      <c r="P59" s="7">
        <f t="shared" si="20"/>
        <v>-5445.009999999999</v>
      </c>
      <c r="Q59" s="7">
        <f t="shared" si="20"/>
        <v>151594.71</v>
      </c>
      <c r="R59" s="7">
        <f t="shared" si="20"/>
        <v>778.3700000000002</v>
      </c>
      <c r="S59" s="7">
        <f t="shared" si="20"/>
        <v>1174.4700000000003</v>
      </c>
      <c r="T59" s="7">
        <f t="shared" si="20"/>
        <v>-6463.69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246</v>
      </c>
      <c r="O61" s="5" t="s">
        <v>247</v>
      </c>
      <c r="P61" s="5" t="s">
        <v>96</v>
      </c>
      <c r="Q61" s="5" t="s">
        <v>97</v>
      </c>
      <c r="R61" s="5" t="s">
        <v>98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12572.3</v>
      </c>
      <c r="I62" s="44">
        <f>SUM(I63:I71)</f>
        <v>1208.25</v>
      </c>
      <c r="J62" s="44">
        <f>SUM(J63:J71)</f>
        <v>1154.55</v>
      </c>
      <c r="K62" s="44">
        <f>SUM(K63:K71)</f>
        <v>1449.9</v>
      </c>
      <c r="L62" s="44">
        <f>SUM(L63:L71)</f>
        <v>0</v>
      </c>
      <c r="M62" s="44">
        <f aca="true" t="shared" si="21" ref="M62:T62">SUM(M63:M71)</f>
        <v>1108.2</v>
      </c>
      <c r="N62">
        <f t="shared" si="21"/>
        <v>1098</v>
      </c>
      <c r="O62">
        <f t="shared" si="21"/>
        <v>1245.25</v>
      </c>
      <c r="P62">
        <f t="shared" si="21"/>
        <v>967</v>
      </c>
      <c r="Q62">
        <f t="shared" si="21"/>
        <v>1192.3</v>
      </c>
      <c r="R62">
        <f t="shared" si="21"/>
        <v>1089.9</v>
      </c>
      <c r="S62">
        <f t="shared" si="21"/>
        <v>1112.05</v>
      </c>
      <c r="T62">
        <f t="shared" si="21"/>
        <v>946.9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12088.35</v>
      </c>
      <c r="I63" s="46">
        <v>1208.25</v>
      </c>
      <c r="J63" s="46">
        <v>1154.55</v>
      </c>
      <c r="K63" s="46">
        <v>1449.9</v>
      </c>
      <c r="L63" s="46"/>
      <c r="M63" s="46">
        <v>967</v>
      </c>
      <c r="N63" s="24">
        <v>1015.4</v>
      </c>
      <c r="O63" s="24">
        <v>1015.35</v>
      </c>
      <c r="P63" s="24">
        <v>967</v>
      </c>
      <c r="Q63" s="24">
        <v>1192.3</v>
      </c>
      <c r="R63" s="24">
        <v>991.2</v>
      </c>
      <c r="S63" s="24">
        <v>1112.05</v>
      </c>
      <c r="T63" s="24">
        <v>1015.35</v>
      </c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2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2"/>
        <v>385.25</v>
      </c>
      <c r="I65" s="47"/>
      <c r="J65" s="47"/>
      <c r="K65" s="47"/>
      <c r="L65" s="47"/>
      <c r="M65" s="47">
        <v>141.2</v>
      </c>
      <c r="N65" s="27">
        <v>82.6</v>
      </c>
      <c r="O65" s="27">
        <v>229.9</v>
      </c>
      <c r="P65" s="27"/>
      <c r="Q65" s="27"/>
      <c r="R65" s="27"/>
      <c r="S65" s="27"/>
      <c r="T65" s="27">
        <v>-68.45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2"/>
        <v>98.7</v>
      </c>
      <c r="I66" s="47"/>
      <c r="J66" s="47"/>
      <c r="K66" s="47"/>
      <c r="L66" s="47"/>
      <c r="M66" s="47"/>
      <c r="N66" s="27"/>
      <c r="O66" s="27"/>
      <c r="P66" s="27"/>
      <c r="Q66" s="27"/>
      <c r="R66" s="27">
        <v>98.7</v>
      </c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2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2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2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4143.279500000001</v>
      </c>
      <c r="I72" s="24">
        <f aca="true" t="shared" si="23" ref="I72:P72">I62*33/100</f>
        <v>398.7225</v>
      </c>
      <c r="J72" s="24">
        <f t="shared" si="23"/>
        <v>381.0015</v>
      </c>
      <c r="K72" s="24">
        <f t="shared" si="23"/>
        <v>478.46700000000004</v>
      </c>
      <c r="L72" s="24">
        <f t="shared" si="23"/>
        <v>0</v>
      </c>
      <c r="M72" s="24">
        <f t="shared" si="23"/>
        <v>365.70599999999996</v>
      </c>
      <c r="N72" s="24">
        <f t="shared" si="23"/>
        <v>362.34</v>
      </c>
      <c r="O72" s="24">
        <f t="shared" si="23"/>
        <v>410.9325</v>
      </c>
      <c r="P72" s="24">
        <f t="shared" si="23"/>
        <v>319.11</v>
      </c>
      <c r="Q72" s="24">
        <v>393</v>
      </c>
      <c r="R72" s="24">
        <v>355</v>
      </c>
      <c r="S72" s="24">
        <v>367</v>
      </c>
      <c r="T72" s="24">
        <v>312</v>
      </c>
    </row>
    <row r="73" spans="5:20" ht="12.75">
      <c r="E73" s="28" t="s">
        <v>74</v>
      </c>
      <c r="F73" s="28"/>
      <c r="G73" s="28"/>
      <c r="H73" s="21">
        <f>SUM(I73:T73)</f>
        <v>173.2361</v>
      </c>
      <c r="I73" s="24">
        <f aca="true" t="shared" si="24" ref="I73:P73">1.4*I62/100</f>
        <v>16.915499999999998</v>
      </c>
      <c r="J73" s="24">
        <f t="shared" si="24"/>
        <v>16.1637</v>
      </c>
      <c r="K73" s="24">
        <f t="shared" si="24"/>
        <v>20.2986</v>
      </c>
      <c r="L73" s="24">
        <f t="shared" si="24"/>
        <v>0</v>
      </c>
      <c r="M73" s="24">
        <f t="shared" si="24"/>
        <v>15.514800000000001</v>
      </c>
      <c r="N73" s="24">
        <f t="shared" si="24"/>
        <v>15.371999999999998</v>
      </c>
      <c r="O73" s="24">
        <f t="shared" si="24"/>
        <v>17.4335</v>
      </c>
      <c r="P73" s="24">
        <f t="shared" si="24"/>
        <v>13.538</v>
      </c>
      <c r="Q73" s="24">
        <v>15</v>
      </c>
      <c r="R73" s="24">
        <v>14</v>
      </c>
      <c r="S73" s="24">
        <v>16</v>
      </c>
      <c r="T73" s="24">
        <v>13</v>
      </c>
    </row>
    <row r="74" spans="6:20" ht="12.75">
      <c r="F74" s="29"/>
      <c r="G74" s="29"/>
      <c r="H74" s="21">
        <f>SUM(I74:T74)</f>
        <v>16888.815599999998</v>
      </c>
      <c r="I74" s="24">
        <f aca="true" t="shared" si="25" ref="I74:T74">I62+I72+I73</f>
        <v>1623.8880000000001</v>
      </c>
      <c r="J74" s="24">
        <f t="shared" si="25"/>
        <v>1551.7152</v>
      </c>
      <c r="K74" s="24">
        <f t="shared" si="25"/>
        <v>1948.6656000000003</v>
      </c>
      <c r="L74" s="24">
        <f t="shared" si="25"/>
        <v>0</v>
      </c>
      <c r="M74" s="24">
        <f t="shared" si="25"/>
        <v>1489.4207999999999</v>
      </c>
      <c r="N74" s="24">
        <f t="shared" si="25"/>
        <v>1475.712</v>
      </c>
      <c r="O74" s="24">
        <f t="shared" si="25"/>
        <v>1673.616</v>
      </c>
      <c r="P74" s="24">
        <f t="shared" si="25"/>
        <v>1299.6480000000001</v>
      </c>
      <c r="Q74" s="24">
        <f t="shared" si="25"/>
        <v>1600.3</v>
      </c>
      <c r="R74" s="24">
        <f t="shared" si="25"/>
        <v>1458.9</v>
      </c>
      <c r="S74" s="24">
        <f t="shared" si="25"/>
        <v>1495.05</v>
      </c>
      <c r="T74" s="24">
        <f t="shared" si="25"/>
        <v>1271.9</v>
      </c>
    </row>
    <row r="75" spans="5:20" ht="12.75">
      <c r="E75" s="30" t="s">
        <v>75</v>
      </c>
      <c r="H75" s="21" t="s">
        <v>76</v>
      </c>
      <c r="I75" s="48"/>
      <c r="J75" s="48"/>
      <c r="K75" s="48"/>
      <c r="L75" s="48"/>
      <c r="M75" s="48"/>
      <c r="N75" s="31"/>
      <c r="O75" s="31"/>
      <c r="P75" s="31"/>
      <c r="Q75" s="31"/>
      <c r="R75" s="31"/>
      <c r="S75" s="31"/>
      <c r="T75" s="31"/>
    </row>
    <row r="76" spans="1:20" ht="25.5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166</v>
      </c>
      <c r="H77" s="7">
        <f>SUM(I77:T77)</f>
        <v>3636</v>
      </c>
      <c r="I77" s="32">
        <v>303</v>
      </c>
      <c r="J77" s="32">
        <v>303</v>
      </c>
      <c r="K77" s="32">
        <v>303</v>
      </c>
      <c r="L77" s="32">
        <v>303</v>
      </c>
      <c r="M77" s="32">
        <v>303</v>
      </c>
      <c r="N77" s="32">
        <v>303</v>
      </c>
      <c r="O77" s="32">
        <v>303</v>
      </c>
      <c r="P77" s="32">
        <v>303</v>
      </c>
      <c r="Q77" s="32">
        <v>303</v>
      </c>
      <c r="R77" s="32">
        <v>303</v>
      </c>
      <c r="S77" s="32">
        <v>303</v>
      </c>
      <c r="T77" s="32">
        <v>303</v>
      </c>
    </row>
    <row r="78" spans="1:20" ht="12.75">
      <c r="A78" s="1"/>
      <c r="B78" s="1"/>
      <c r="C78" s="1"/>
      <c r="D78" s="1"/>
      <c r="E78" s="1" t="s">
        <v>167</v>
      </c>
      <c r="H78" s="7">
        <f>SUM(I78:T78)</f>
        <v>3432</v>
      </c>
      <c r="I78" s="32">
        <v>286</v>
      </c>
      <c r="J78" s="32">
        <v>286</v>
      </c>
      <c r="K78" s="32">
        <v>286</v>
      </c>
      <c r="L78" s="32">
        <v>286</v>
      </c>
      <c r="M78" s="32">
        <v>286</v>
      </c>
      <c r="N78" s="32">
        <v>286</v>
      </c>
      <c r="O78" s="32">
        <v>286</v>
      </c>
      <c r="P78" s="32">
        <v>286</v>
      </c>
      <c r="Q78" s="32">
        <v>286</v>
      </c>
      <c r="R78" s="32">
        <v>286</v>
      </c>
      <c r="S78" s="32">
        <v>286</v>
      </c>
      <c r="T78" s="32">
        <v>286</v>
      </c>
    </row>
    <row r="79" spans="1:20" ht="12.75">
      <c r="A79" s="1"/>
      <c r="B79" s="1"/>
      <c r="C79" s="1"/>
      <c r="D79" s="1"/>
      <c r="E79" s="1" t="s">
        <v>175</v>
      </c>
      <c r="H79" s="7">
        <f aca="true" t="shared" si="26" ref="H79:H92">SUM(I79:T79)</f>
        <v>3676</v>
      </c>
      <c r="I79" s="32">
        <v>289</v>
      </c>
      <c r="J79" s="32">
        <v>289</v>
      </c>
      <c r="K79" s="32">
        <v>289</v>
      </c>
      <c r="L79" s="32">
        <v>289</v>
      </c>
      <c r="M79" s="32">
        <v>289</v>
      </c>
      <c r="N79" s="32">
        <v>289</v>
      </c>
      <c r="O79" s="32">
        <v>289</v>
      </c>
      <c r="P79" s="32">
        <v>289</v>
      </c>
      <c r="Q79" s="32">
        <v>341</v>
      </c>
      <c r="R79" s="32">
        <v>341</v>
      </c>
      <c r="S79" s="32">
        <v>341</v>
      </c>
      <c r="T79" s="32">
        <v>341</v>
      </c>
    </row>
    <row r="80" spans="1:20" ht="12.75">
      <c r="A80" s="1"/>
      <c r="B80" s="1"/>
      <c r="C80" s="1"/>
      <c r="D80" s="1"/>
      <c r="E80" s="1" t="s">
        <v>249</v>
      </c>
      <c r="H80" s="7">
        <f t="shared" si="26"/>
        <v>3290</v>
      </c>
      <c r="I80" s="32"/>
      <c r="J80" s="32"/>
      <c r="K80" s="32"/>
      <c r="L80" s="32"/>
      <c r="M80" s="32">
        <f>235+235+235+235+235+235+235</f>
        <v>1645</v>
      </c>
      <c r="N80" s="32">
        <v>235</v>
      </c>
      <c r="O80" s="32">
        <v>235</v>
      </c>
      <c r="P80" s="32">
        <v>235</v>
      </c>
      <c r="Q80" s="32">
        <v>235</v>
      </c>
      <c r="R80" s="32">
        <v>235</v>
      </c>
      <c r="S80" s="32">
        <v>235</v>
      </c>
      <c r="T80" s="32">
        <v>235</v>
      </c>
    </row>
    <row r="81" spans="1:20" ht="12.75">
      <c r="A81" s="1"/>
      <c r="B81" s="1"/>
      <c r="C81" s="1"/>
      <c r="D81" s="1"/>
      <c r="E81" s="1" t="s">
        <v>176</v>
      </c>
      <c r="H81" s="7">
        <f t="shared" si="26"/>
        <v>2194.95</v>
      </c>
      <c r="I81" s="32"/>
      <c r="J81" s="32"/>
      <c r="K81" s="32"/>
      <c r="L81" s="32">
        <v>125.35</v>
      </c>
      <c r="M81" s="32">
        <v>235.4</v>
      </c>
      <c r="N81" s="32">
        <v>235.4</v>
      </c>
      <c r="O81" s="32">
        <v>235.4</v>
      </c>
      <c r="P81" s="32">
        <v>235.4</v>
      </c>
      <c r="Q81" s="32">
        <v>282</v>
      </c>
      <c r="R81" s="32">
        <v>282</v>
      </c>
      <c r="S81" s="32">
        <v>282</v>
      </c>
      <c r="T81" s="32">
        <v>282</v>
      </c>
    </row>
    <row r="82" spans="1:20" ht="12.75">
      <c r="A82" s="1"/>
      <c r="B82" s="1"/>
      <c r="C82" s="1"/>
      <c r="D82" s="1"/>
      <c r="E82" s="1" t="s">
        <v>168</v>
      </c>
      <c r="H82" s="7">
        <f>SUM(I82:T82)</f>
        <v>813</v>
      </c>
      <c r="I82" s="32">
        <v>813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</row>
    <row r="83" spans="1:20" ht="12.75">
      <c r="A83" s="1"/>
      <c r="B83" s="1"/>
      <c r="C83" s="1"/>
      <c r="D83" s="1"/>
      <c r="E83" s="1" t="s">
        <v>169</v>
      </c>
      <c r="H83" s="7">
        <f>SUM(I83:T83)</f>
        <v>6504</v>
      </c>
      <c r="I83" s="32">
        <v>542</v>
      </c>
      <c r="J83" s="32">
        <v>542</v>
      </c>
      <c r="K83" s="32">
        <v>542</v>
      </c>
      <c r="L83" s="32">
        <v>542</v>
      </c>
      <c r="M83" s="32">
        <v>542</v>
      </c>
      <c r="N83" s="32">
        <v>542</v>
      </c>
      <c r="O83" s="32">
        <v>542</v>
      </c>
      <c r="P83" s="32">
        <v>542</v>
      </c>
      <c r="Q83" s="32">
        <v>542</v>
      </c>
      <c r="R83" s="32">
        <v>542</v>
      </c>
      <c r="S83" s="32">
        <v>542</v>
      </c>
      <c r="T83" s="32">
        <v>542</v>
      </c>
    </row>
    <row r="84" spans="1:20" ht="12.75">
      <c r="A84" s="1"/>
      <c r="B84" s="1"/>
      <c r="C84" s="1"/>
      <c r="D84" s="1"/>
      <c r="E84" s="1" t="s">
        <v>170</v>
      </c>
      <c r="H84" s="7">
        <f>SUM(I84:T84)</f>
        <v>9756</v>
      </c>
      <c r="I84" s="32">
        <v>813</v>
      </c>
      <c r="J84" s="32">
        <v>813</v>
      </c>
      <c r="K84" s="32">
        <v>813</v>
      </c>
      <c r="L84" s="32">
        <v>813</v>
      </c>
      <c r="M84" s="32">
        <v>813</v>
      </c>
      <c r="N84" s="32">
        <v>813</v>
      </c>
      <c r="O84" s="32">
        <v>813</v>
      </c>
      <c r="P84" s="32">
        <v>813</v>
      </c>
      <c r="Q84" s="32">
        <v>813</v>
      </c>
      <c r="R84" s="32">
        <v>813</v>
      </c>
      <c r="S84" s="32">
        <v>813</v>
      </c>
      <c r="T84" s="32">
        <v>813</v>
      </c>
    </row>
    <row r="85" spans="1:20" ht="12.75">
      <c r="A85" s="1"/>
      <c r="B85" s="1"/>
      <c r="C85" s="1"/>
      <c r="D85" s="1"/>
      <c r="E85" s="1" t="s">
        <v>177</v>
      </c>
      <c r="H85" s="7">
        <f>SUM(I85:T85)</f>
        <v>3088.8199999999997</v>
      </c>
      <c r="I85" s="32"/>
      <c r="J85" s="32"/>
      <c r="K85" s="32"/>
      <c r="L85" s="32"/>
      <c r="M85" s="32">
        <v>666.65</v>
      </c>
      <c r="N85" s="32">
        <v>666.65</v>
      </c>
      <c r="O85" s="32">
        <v>666.65</v>
      </c>
      <c r="P85" s="32">
        <v>800</v>
      </c>
      <c r="Q85" s="32">
        <v>288.87</v>
      </c>
      <c r="R85" s="32" t="s">
        <v>263</v>
      </c>
      <c r="S85" s="32" t="s">
        <v>263</v>
      </c>
      <c r="T85" s="32" t="s">
        <v>263</v>
      </c>
    </row>
    <row r="86" spans="1:20" ht="12.75">
      <c r="A86" s="1"/>
      <c r="B86" s="1"/>
      <c r="C86" s="1"/>
      <c r="D86" s="1"/>
      <c r="E86" s="1" t="s">
        <v>171</v>
      </c>
      <c r="H86" s="7">
        <f t="shared" si="26"/>
        <v>7104</v>
      </c>
      <c r="I86" s="32">
        <v>592</v>
      </c>
      <c r="J86" s="32">
        <v>592</v>
      </c>
      <c r="K86" s="32">
        <v>592</v>
      </c>
      <c r="L86" s="32">
        <v>592</v>
      </c>
      <c r="M86" s="32">
        <v>592</v>
      </c>
      <c r="N86" s="32">
        <v>592</v>
      </c>
      <c r="O86" s="32">
        <v>592</v>
      </c>
      <c r="P86" s="32">
        <v>592</v>
      </c>
      <c r="Q86" s="32">
        <v>592</v>
      </c>
      <c r="R86" s="32">
        <v>592</v>
      </c>
      <c r="S86" s="32">
        <v>592</v>
      </c>
      <c r="T86" s="32">
        <v>592</v>
      </c>
    </row>
    <row r="87" spans="1:20" ht="12.75">
      <c r="A87" s="1"/>
      <c r="B87" s="1"/>
      <c r="C87" s="1"/>
      <c r="D87" s="1"/>
      <c r="E87" s="1" t="s">
        <v>173</v>
      </c>
      <c r="H87" s="7">
        <f t="shared" si="26"/>
        <v>9504</v>
      </c>
      <c r="I87" s="32">
        <v>792</v>
      </c>
      <c r="J87" s="32">
        <v>792</v>
      </c>
      <c r="K87" s="32">
        <v>792</v>
      </c>
      <c r="L87" s="32">
        <v>792</v>
      </c>
      <c r="M87" s="32">
        <v>792</v>
      </c>
      <c r="N87" s="32">
        <v>792</v>
      </c>
      <c r="O87" s="32">
        <v>792</v>
      </c>
      <c r="P87" s="32">
        <v>792</v>
      </c>
      <c r="Q87" s="32">
        <v>792</v>
      </c>
      <c r="R87" s="32">
        <v>792</v>
      </c>
      <c r="S87" s="32">
        <v>792</v>
      </c>
      <c r="T87" s="32">
        <v>792</v>
      </c>
    </row>
    <row r="88" spans="1:20" s="37" customFormat="1" ht="12.75">
      <c r="A88" s="16"/>
      <c r="B88" s="16"/>
      <c r="C88" s="16"/>
      <c r="D88" s="16"/>
      <c r="E88" s="16" t="s">
        <v>174</v>
      </c>
      <c r="F88" s="62"/>
      <c r="G88" s="62"/>
      <c r="H88" s="7">
        <f>SUM(H77:H87)</f>
        <v>52998.77</v>
      </c>
      <c r="I88" s="33">
        <f>SUM(I77:I87)</f>
        <v>4430</v>
      </c>
      <c r="J88" s="33">
        <f aca="true" t="shared" si="27" ref="J88:S88">SUM(J77:J87)</f>
        <v>3617</v>
      </c>
      <c r="K88" s="33">
        <f t="shared" si="27"/>
        <v>3617</v>
      </c>
      <c r="L88" s="33">
        <f t="shared" si="27"/>
        <v>3742.35</v>
      </c>
      <c r="M88" s="33">
        <f t="shared" si="27"/>
        <v>6164.049999999999</v>
      </c>
      <c r="N88" s="33">
        <f t="shared" si="27"/>
        <v>4754.05</v>
      </c>
      <c r="O88" s="33">
        <f t="shared" si="27"/>
        <v>4754.05</v>
      </c>
      <c r="P88" s="33">
        <f t="shared" si="27"/>
        <v>4887.4</v>
      </c>
      <c r="Q88" s="33">
        <f t="shared" si="27"/>
        <v>4474.87</v>
      </c>
      <c r="R88" s="33">
        <f t="shared" si="27"/>
        <v>4186</v>
      </c>
      <c r="S88" s="33">
        <f t="shared" si="27"/>
        <v>4186</v>
      </c>
      <c r="T88" s="33">
        <f>SUM(T77:T87)</f>
        <v>4186</v>
      </c>
    </row>
    <row r="89" spans="1:20" ht="12.75">
      <c r="A89" s="1"/>
      <c r="B89" s="1"/>
      <c r="C89" s="1"/>
      <c r="D89" s="1"/>
      <c r="E89" s="1"/>
      <c r="H89" s="7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1"/>
      <c r="B90" s="1"/>
      <c r="C90" s="1"/>
      <c r="D90" s="1"/>
      <c r="E90" s="16" t="s">
        <v>172</v>
      </c>
      <c r="H90" s="7">
        <f t="shared" si="26"/>
        <v>2520.54</v>
      </c>
      <c r="I90" s="32">
        <f>36.6+18.3</f>
        <v>54.900000000000006</v>
      </c>
      <c r="J90" s="32">
        <f>36.6-133.35+18.3+18.3-133.35</f>
        <v>-193.5</v>
      </c>
      <c r="K90" s="32">
        <f>36.6+18.3</f>
        <v>54.900000000000006</v>
      </c>
      <c r="L90" s="32">
        <f>36.6+18.3+18.3</f>
        <v>73.2</v>
      </c>
      <c r="M90" s="32">
        <f>36.6+100+18.3+50+18.3+50+398.5</f>
        <v>671.7</v>
      </c>
      <c r="N90" s="32">
        <v>284.58</v>
      </c>
      <c r="O90" s="32">
        <v>284.58</v>
      </c>
      <c r="P90" s="32">
        <v>284.58</v>
      </c>
      <c r="Q90" s="32">
        <f>50.75+25.35+25.35+327.2+25.35</f>
        <v>454</v>
      </c>
      <c r="R90" s="32">
        <v>93.25</v>
      </c>
      <c r="S90" s="32">
        <v>318.55</v>
      </c>
      <c r="T90" s="32">
        <v>139.8</v>
      </c>
    </row>
    <row r="91" spans="1:20" ht="12.75">
      <c r="A91" s="1"/>
      <c r="B91" s="1"/>
      <c r="C91" s="1"/>
      <c r="D91" s="1"/>
      <c r="E91" s="1" t="s">
        <v>251</v>
      </c>
      <c r="H91" s="7">
        <f t="shared" si="26"/>
        <v>53945.84</v>
      </c>
      <c r="I91" s="32"/>
      <c r="J91" s="32"/>
      <c r="K91" s="32"/>
      <c r="L91" s="32"/>
      <c r="M91" s="32">
        <v>8870</v>
      </c>
      <c r="N91" s="32">
        <v>16526.84</v>
      </c>
      <c r="O91" s="32">
        <v>12088.8</v>
      </c>
      <c r="P91" s="32">
        <v>8230.1</v>
      </c>
      <c r="Q91" s="32">
        <f>732.6+1065.6+1265.4+1465.2+799.2+732.6+799.2+632.7+737.6</f>
        <v>8230.1</v>
      </c>
      <c r="R91" s="32">
        <v>0</v>
      </c>
      <c r="S91" s="32"/>
      <c r="T91" s="32"/>
    </row>
    <row r="92" spans="1:20" s="37" customFormat="1" ht="12.75">
      <c r="A92" s="16"/>
      <c r="B92" s="16"/>
      <c r="C92" s="16"/>
      <c r="D92" s="16"/>
      <c r="E92" s="33" t="s">
        <v>78</v>
      </c>
      <c r="F92" s="62"/>
      <c r="G92" s="62"/>
      <c r="H92" s="7">
        <f t="shared" si="26"/>
        <v>109465.15000000001</v>
      </c>
      <c r="I92" s="43">
        <f>I88+I90</f>
        <v>4484.9</v>
      </c>
      <c r="J92" s="43">
        <f>J88+J90</f>
        <v>3423.5</v>
      </c>
      <c r="K92" s="43">
        <f>K88+K90</f>
        <v>3671.9</v>
      </c>
      <c r="L92" s="43">
        <f>L88+L90</f>
        <v>3815.5499999999997</v>
      </c>
      <c r="M92" s="43">
        <f>M88+M90+M91</f>
        <v>15705.75</v>
      </c>
      <c r="N92" s="43">
        <f aca="true" t="shared" si="28" ref="N92:T92">N88+N90+N91</f>
        <v>21565.47</v>
      </c>
      <c r="O92" s="43">
        <f t="shared" si="28"/>
        <v>17127.43</v>
      </c>
      <c r="P92" s="43">
        <f t="shared" si="28"/>
        <v>13402.08</v>
      </c>
      <c r="Q92" s="43">
        <f t="shared" si="28"/>
        <v>13158.970000000001</v>
      </c>
      <c r="R92" s="43">
        <f t="shared" si="28"/>
        <v>4279.25</v>
      </c>
      <c r="S92" s="43">
        <f t="shared" si="28"/>
        <v>4504.55</v>
      </c>
      <c r="T92" s="43">
        <f t="shared" si="28"/>
        <v>4325.8</v>
      </c>
    </row>
    <row r="93" spans="1:20" ht="12.75">
      <c r="A93" s="1"/>
      <c r="B93" s="1"/>
      <c r="C93" s="1"/>
      <c r="D93" s="1"/>
      <c r="E93" s="32"/>
      <c r="H93" s="7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8">
      <c r="A94" s="1"/>
      <c r="B94" s="1"/>
      <c r="C94" s="1"/>
      <c r="D94" s="1"/>
      <c r="E94" s="33" t="s">
        <v>165</v>
      </c>
      <c r="F94" s="2"/>
      <c r="G94" s="2"/>
      <c r="H94" s="7">
        <f aca="true" t="shared" si="29" ref="H94:H107">SUM(I94:T94)</f>
        <v>0</v>
      </c>
      <c r="I94" s="38"/>
      <c r="J94" s="38"/>
      <c r="K94" s="38"/>
      <c r="L94" s="38"/>
      <c r="M94" s="38"/>
      <c r="N94" s="13"/>
      <c r="O94" s="13"/>
      <c r="P94" s="13"/>
      <c r="Q94" s="13"/>
      <c r="R94" s="13"/>
      <c r="S94" s="13"/>
      <c r="T94" s="13"/>
    </row>
    <row r="95" spans="1:20" ht="12.75">
      <c r="A95" s="1"/>
      <c r="B95" s="1"/>
      <c r="C95" s="1"/>
      <c r="D95" s="1"/>
      <c r="E95" s="32"/>
      <c r="H95" s="7">
        <f t="shared" si="29"/>
        <v>0</v>
      </c>
      <c r="I95" s="38"/>
      <c r="J95" s="38"/>
      <c r="K95" s="38"/>
      <c r="L95" s="38"/>
      <c r="M95" s="38"/>
      <c r="N95" s="13"/>
      <c r="O95" s="13"/>
      <c r="P95" s="13"/>
      <c r="Q95" s="13"/>
      <c r="R95" s="13"/>
      <c r="S95" s="13"/>
      <c r="T95" s="13"/>
    </row>
    <row r="96" spans="1:20" ht="12.75">
      <c r="A96" s="1"/>
      <c r="B96" s="1"/>
      <c r="C96" s="1"/>
      <c r="D96" s="1"/>
      <c r="E96" s="32"/>
      <c r="F96" s="22"/>
      <c r="G96" s="22"/>
      <c r="H96" s="7">
        <f t="shared" si="29"/>
        <v>0</v>
      </c>
      <c r="I96" s="40">
        <f>I94*I95</f>
        <v>0</v>
      </c>
      <c r="J96" s="40">
        <f>J94*J95</f>
        <v>0</v>
      </c>
      <c r="K96" s="40">
        <f>K94*K95</f>
        <v>0</v>
      </c>
      <c r="L96" s="40">
        <f>L94*L95</f>
        <v>0</v>
      </c>
      <c r="M96" s="40">
        <f aca="true" t="shared" si="30" ref="M96:T96">M94*M95</f>
        <v>0</v>
      </c>
      <c r="N96" s="4">
        <f t="shared" si="30"/>
        <v>0</v>
      </c>
      <c r="O96" s="4">
        <f t="shared" si="30"/>
        <v>0</v>
      </c>
      <c r="P96" s="4">
        <f t="shared" si="30"/>
        <v>0</v>
      </c>
      <c r="Q96" s="4">
        <f t="shared" si="30"/>
        <v>0</v>
      </c>
      <c r="R96" s="4">
        <f t="shared" si="30"/>
        <v>0</v>
      </c>
      <c r="S96" s="4">
        <f t="shared" si="30"/>
        <v>0</v>
      </c>
      <c r="T96" s="4">
        <f t="shared" si="30"/>
        <v>0</v>
      </c>
    </row>
    <row r="97" spans="1:20" ht="12.75">
      <c r="A97" s="1"/>
      <c r="B97" s="1"/>
      <c r="C97" s="1"/>
      <c r="D97" s="1"/>
      <c r="E97" s="33" t="s">
        <v>82</v>
      </c>
      <c r="F97" s="22"/>
      <c r="G97" s="22"/>
      <c r="H97" s="7">
        <f t="shared" si="29"/>
        <v>0</v>
      </c>
      <c r="I97" s="38"/>
      <c r="J97" s="38"/>
      <c r="K97" s="38"/>
      <c r="L97" s="38"/>
      <c r="M97" s="38"/>
      <c r="N97" s="13"/>
      <c r="O97" s="13"/>
      <c r="P97" s="13"/>
      <c r="Q97" s="13"/>
      <c r="R97" s="13"/>
      <c r="S97" s="13"/>
      <c r="T97" s="13"/>
    </row>
    <row r="98" spans="1:20" ht="12.75">
      <c r="A98" s="1"/>
      <c r="B98" s="1"/>
      <c r="C98" s="1"/>
      <c r="D98" s="1"/>
      <c r="E98" s="32"/>
      <c r="F98" s="26"/>
      <c r="G98" s="26"/>
      <c r="H98" s="7">
        <f t="shared" si="29"/>
        <v>0</v>
      </c>
      <c r="I98" s="32"/>
      <c r="J98" s="32"/>
      <c r="K98" s="32"/>
      <c r="L98" s="32"/>
      <c r="M98" s="32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32"/>
      <c r="F99" s="26"/>
      <c r="G99" s="26"/>
      <c r="H99" s="7">
        <f t="shared" si="29"/>
        <v>0</v>
      </c>
      <c r="I99" s="40">
        <f>I97*I98</f>
        <v>0</v>
      </c>
      <c r="J99" s="40">
        <f>J97*J98</f>
        <v>0</v>
      </c>
      <c r="K99" s="40">
        <f>K97*K98</f>
        <v>0</v>
      </c>
      <c r="L99" s="40">
        <f>L97*L98</f>
        <v>0</v>
      </c>
      <c r="M99" s="40">
        <f aca="true" t="shared" si="31" ref="M99:T99">M97*M98</f>
        <v>0</v>
      </c>
      <c r="N99" s="4">
        <f t="shared" si="31"/>
        <v>0</v>
      </c>
      <c r="O99" s="4">
        <f t="shared" si="31"/>
        <v>0</v>
      </c>
      <c r="P99" s="4">
        <f t="shared" si="31"/>
        <v>0</v>
      </c>
      <c r="Q99" s="4">
        <f t="shared" si="31"/>
        <v>0</v>
      </c>
      <c r="R99" s="4">
        <f t="shared" si="31"/>
        <v>0</v>
      </c>
      <c r="S99" s="4">
        <f t="shared" si="31"/>
        <v>0</v>
      </c>
      <c r="T99" s="4">
        <f t="shared" si="31"/>
        <v>0</v>
      </c>
    </row>
    <row r="100" spans="6:9" ht="12.75">
      <c r="F100" s="26"/>
      <c r="G100" s="26" t="s">
        <v>83</v>
      </c>
      <c r="H100" s="7">
        <f t="shared" si="29"/>
        <v>0</v>
      </c>
      <c r="I100" s="44"/>
    </row>
    <row r="101" spans="1:20" ht="18">
      <c r="A101" s="1"/>
      <c r="B101" s="1"/>
      <c r="C101" s="1"/>
      <c r="D101" s="1"/>
      <c r="E101" s="2"/>
      <c r="H101" s="3">
        <f t="shared" si="29"/>
        <v>0</v>
      </c>
      <c r="I101" s="40" t="s">
        <v>89</v>
      </c>
      <c r="J101" s="40" t="s">
        <v>90</v>
      </c>
      <c r="K101" s="40" t="s">
        <v>91</v>
      </c>
      <c r="L101" s="45" t="s">
        <v>92</v>
      </c>
      <c r="M101" s="40" t="s">
        <v>93</v>
      </c>
      <c r="N101" s="4" t="s">
        <v>94</v>
      </c>
      <c r="O101" s="4" t="s">
        <v>95</v>
      </c>
      <c r="P101" s="5" t="s">
        <v>96</v>
      </c>
      <c r="Q101" s="4" t="s">
        <v>97</v>
      </c>
      <c r="R101" s="4" t="s">
        <v>98</v>
      </c>
      <c r="S101" s="4" t="s">
        <v>99</v>
      </c>
      <c r="T101" s="5" t="s">
        <v>100</v>
      </c>
    </row>
    <row r="102" spans="5:20" ht="12.75">
      <c r="E102" s="18" t="s">
        <v>84</v>
      </c>
      <c r="H102" s="21">
        <f t="shared" si="29"/>
        <v>686.72</v>
      </c>
      <c r="I102" s="44">
        <f>SUM(I103:I108)</f>
        <v>76.57</v>
      </c>
      <c r="J102" s="44">
        <f>SUM(J103:J108)</f>
        <v>60.73</v>
      </c>
      <c r="K102" s="44">
        <f>SUM(K103:K108)</f>
        <v>48.06</v>
      </c>
      <c r="L102" s="44">
        <f>SUM(L103:L108)</f>
        <v>51.81</v>
      </c>
      <c r="M102" s="44">
        <f aca="true" t="shared" si="32" ref="M102:T102">SUM(M103:M108)</f>
        <v>63.379999999999995</v>
      </c>
      <c r="N102">
        <f t="shared" si="32"/>
        <v>108.41</v>
      </c>
      <c r="O102">
        <f t="shared" si="32"/>
        <v>51.379999999999995</v>
      </c>
      <c r="P102">
        <f t="shared" si="32"/>
        <v>35</v>
      </c>
      <c r="Q102">
        <f t="shared" si="32"/>
        <v>84.98</v>
      </c>
      <c r="R102">
        <f t="shared" si="32"/>
        <v>50.019999999999996</v>
      </c>
      <c r="S102">
        <f t="shared" si="32"/>
        <v>47.68000000000001</v>
      </c>
      <c r="T102">
        <f t="shared" si="32"/>
        <v>8.7</v>
      </c>
    </row>
    <row r="103" spans="1:13" s="25" customFormat="1" ht="12.75">
      <c r="A103" s="22"/>
      <c r="B103" s="22"/>
      <c r="C103" s="22"/>
      <c r="D103" s="22"/>
      <c r="E103" s="22" t="s">
        <v>85</v>
      </c>
      <c r="F103" s="18"/>
      <c r="G103" s="18"/>
      <c r="H103" s="23">
        <f t="shared" si="29"/>
        <v>118.93</v>
      </c>
      <c r="I103" s="49">
        <v>39.57</v>
      </c>
      <c r="J103" s="49">
        <v>39.65</v>
      </c>
      <c r="K103" s="49">
        <v>39.71</v>
      </c>
      <c r="L103" s="49"/>
      <c r="M103" s="49"/>
    </row>
    <row r="104" spans="1:19" s="25" customFormat="1" ht="12.75">
      <c r="A104" s="22"/>
      <c r="B104" s="22"/>
      <c r="C104" s="22"/>
      <c r="D104" s="22"/>
      <c r="E104" s="22" t="s">
        <v>86</v>
      </c>
      <c r="F104" s="18"/>
      <c r="G104" s="18"/>
      <c r="H104" s="23">
        <f t="shared" si="29"/>
        <v>80.44</v>
      </c>
      <c r="I104" s="49"/>
      <c r="J104" s="49">
        <v>5.3</v>
      </c>
      <c r="K104" s="49"/>
      <c r="L104" s="49"/>
      <c r="M104" s="49"/>
      <c r="N104" s="25">
        <v>65</v>
      </c>
      <c r="P104" s="25">
        <v>5.07</v>
      </c>
      <c r="S104" s="25">
        <v>5.07</v>
      </c>
    </row>
    <row r="105" spans="1:19" s="25" customFormat="1" ht="12.75">
      <c r="A105" s="22"/>
      <c r="B105" s="22"/>
      <c r="C105" s="22"/>
      <c r="D105" s="22"/>
      <c r="E105" s="26" t="s">
        <v>107</v>
      </c>
      <c r="F105" s="18"/>
      <c r="G105" s="18"/>
      <c r="H105" s="23">
        <f t="shared" si="29"/>
        <v>210.57999999999998</v>
      </c>
      <c r="I105" s="49"/>
      <c r="J105" s="49"/>
      <c r="K105" s="49"/>
      <c r="L105" s="49">
        <v>25.96</v>
      </c>
      <c r="M105" s="49">
        <v>26.06</v>
      </c>
      <c r="N105" s="25">
        <v>26.17</v>
      </c>
      <c r="O105" s="25">
        <v>26.27</v>
      </c>
      <c r="P105" s="25">
        <v>26.37</v>
      </c>
      <c r="Q105" s="25">
        <v>26.48</v>
      </c>
      <c r="R105" s="25">
        <v>26.58</v>
      </c>
      <c r="S105" s="25">
        <v>26.69</v>
      </c>
    </row>
    <row r="106" spans="1:20" s="25" customFormat="1" ht="12.75">
      <c r="A106" s="22"/>
      <c r="B106" s="22"/>
      <c r="C106" s="22"/>
      <c r="D106" s="22"/>
      <c r="E106" s="26" t="s">
        <v>87</v>
      </c>
      <c r="F106" s="18"/>
      <c r="G106" s="18"/>
      <c r="H106" s="23">
        <f t="shared" si="29"/>
        <v>177.54000000000002</v>
      </c>
      <c r="I106" s="49">
        <v>37</v>
      </c>
      <c r="J106" s="49">
        <v>15.78</v>
      </c>
      <c r="K106" s="49">
        <v>8.35</v>
      </c>
      <c r="L106" s="49">
        <v>17.49</v>
      </c>
      <c r="M106" s="49">
        <v>17.94</v>
      </c>
      <c r="N106" s="25">
        <v>7.98</v>
      </c>
      <c r="O106" s="25">
        <v>21.45</v>
      </c>
      <c r="Q106" s="25">
        <v>17.17</v>
      </c>
      <c r="R106" s="25">
        <v>15.76</v>
      </c>
      <c r="S106" s="25">
        <v>12.5</v>
      </c>
      <c r="T106" s="25">
        <v>6.12</v>
      </c>
    </row>
    <row r="107" spans="1:20" s="25" customFormat="1" ht="12.75">
      <c r="A107" s="22"/>
      <c r="B107" s="22"/>
      <c r="C107" s="22"/>
      <c r="D107" s="22"/>
      <c r="E107" s="26" t="s">
        <v>88</v>
      </c>
      <c r="F107" s="18"/>
      <c r="G107" s="18"/>
      <c r="H107" s="23">
        <f t="shared" si="29"/>
        <v>70.18</v>
      </c>
      <c r="I107" s="49"/>
      <c r="J107" s="49"/>
      <c r="K107" s="49"/>
      <c r="L107" s="49">
        <v>4.39</v>
      </c>
      <c r="M107" s="49">
        <v>15.51</v>
      </c>
      <c r="N107" s="25">
        <v>5.49</v>
      </c>
      <c r="Q107" s="25">
        <v>37.88</v>
      </c>
      <c r="R107" s="25">
        <v>4.33</v>
      </c>
      <c r="T107" s="25">
        <v>2.58</v>
      </c>
    </row>
    <row r="108" spans="5:20" ht="12.75">
      <c r="E108" s="26" t="s">
        <v>250</v>
      </c>
      <c r="I108" s="44"/>
      <c r="L108" s="49">
        <v>3.97</v>
      </c>
      <c r="M108" s="49">
        <v>3.87</v>
      </c>
      <c r="N108">
        <v>3.77</v>
      </c>
      <c r="O108">
        <v>3.66</v>
      </c>
      <c r="P108" s="25">
        <v>3.56</v>
      </c>
      <c r="Q108" s="25">
        <v>3.45</v>
      </c>
      <c r="R108" s="25">
        <v>3.35</v>
      </c>
      <c r="S108" s="25">
        <v>3.42</v>
      </c>
      <c r="T108" s="25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  <row r="168" ht="12.75">
      <c r="I168" s="44"/>
    </row>
    <row r="169" ht="12.75">
      <c r="I169" s="44"/>
    </row>
    <row r="170" ht="12.75">
      <c r="I170" s="44"/>
    </row>
    <row r="171" ht="12.75">
      <c r="I171" s="44"/>
    </row>
    <row r="172" ht="12.75">
      <c r="I172" s="44"/>
    </row>
    <row r="173" ht="12.75">
      <c r="I173" s="44"/>
    </row>
    <row r="174" ht="12.75">
      <c r="I174" s="44"/>
    </row>
    <row r="175" ht="12.75">
      <c r="I175" s="44"/>
    </row>
    <row r="176" ht="12.75">
      <c r="I176" s="44"/>
    </row>
    <row r="177" ht="12.75">
      <c r="I177" s="44"/>
    </row>
    <row r="178" ht="12.75">
      <c r="I178" s="44"/>
    </row>
    <row r="179" ht="12.75">
      <c r="I179" s="44"/>
    </row>
    <row r="180" ht="12.75">
      <c r="I180" s="44"/>
    </row>
    <row r="181" ht="12.75">
      <c r="I181" s="44"/>
    </row>
    <row r="182" ht="12.75">
      <c r="I182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3"/>
  <headerFooter alignWithMargins="0">
    <oddHeader>&amp;C&amp;F   &amp;D&amp;RElamute ja korterite haldamine  &amp;A 
</oddHeader>
    <oddFooter>&amp;C&amp;F   &amp;D&amp;RElamute haldamine tegevusala kood  &amp;A</oddFooter>
  </headerFooter>
  <rowBreaks count="1" manualBreakCount="1">
    <brk id="60" max="25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pane xSplit="8" ySplit="2" topLeftCell="R57" activePane="bottomRight" state="frozen"/>
      <selection pane="topLeft" activeCell="A1" sqref="A1"/>
      <selection pane="topRight" activeCell="I1" sqref="I1"/>
      <selection pane="bottomLeft" activeCell="A3" sqref="A3"/>
      <selection pane="bottomRight" activeCell="T8" sqref="T8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95</v>
      </c>
      <c r="P2" s="5" t="s">
        <v>96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173300.8</v>
      </c>
      <c r="G3" s="4">
        <f>G4+G8+G12</f>
        <v>91927.77</v>
      </c>
      <c r="H3" s="7">
        <f>SUM(I3:T3)</f>
        <v>72919.86</v>
      </c>
      <c r="I3" s="40">
        <f>I4+I8+I12</f>
        <v>2297.34</v>
      </c>
      <c r="J3" s="40">
        <f>J4+J8+J12</f>
        <v>2803.34</v>
      </c>
      <c r="K3" s="40">
        <f>K4+K8+K12</f>
        <v>3553.51</v>
      </c>
      <c r="L3" s="40">
        <f>L4+L8+L12</f>
        <v>5541.6</v>
      </c>
      <c r="M3" s="40">
        <f aca="true" t="shared" si="0" ref="M3:T3">M4+M8+M12</f>
        <v>2722.33</v>
      </c>
      <c r="N3" s="4">
        <f t="shared" si="0"/>
        <v>7751.44</v>
      </c>
      <c r="O3" s="4">
        <f t="shared" si="0"/>
        <v>3069.44</v>
      </c>
      <c r="P3" s="4">
        <f t="shared" si="0"/>
        <v>2894.06</v>
      </c>
      <c r="Q3" s="4">
        <f t="shared" si="0"/>
        <v>5725.51</v>
      </c>
      <c r="R3" s="4">
        <f t="shared" si="0"/>
        <v>7307.29</v>
      </c>
      <c r="S3" s="4">
        <f t="shared" si="0"/>
        <v>10232.26</v>
      </c>
      <c r="T3" s="4">
        <f t="shared" si="0"/>
        <v>19021.74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173300.8</v>
      </c>
      <c r="G4" s="4">
        <f>G5</f>
        <v>91927.77</v>
      </c>
      <c r="H4" s="7">
        <f aca="true" t="shared" si="1" ref="H4:H60">SUM(I4:T4)</f>
        <v>72919.86</v>
      </c>
      <c r="I4" s="40">
        <f>I5</f>
        <v>2297.34</v>
      </c>
      <c r="J4" s="40">
        <f>J5</f>
        <v>2803.34</v>
      </c>
      <c r="K4" s="40">
        <f>K5</f>
        <v>3553.51</v>
      </c>
      <c r="L4" s="40">
        <f>L5</f>
        <v>5541.6</v>
      </c>
      <c r="M4" s="40">
        <f aca="true" t="shared" si="2" ref="M4:T4">M5</f>
        <v>2722.33</v>
      </c>
      <c r="N4" s="4">
        <f t="shared" si="2"/>
        <v>7751.44</v>
      </c>
      <c r="O4" s="4">
        <f t="shared" si="2"/>
        <v>3069.44</v>
      </c>
      <c r="P4" s="4">
        <f t="shared" si="2"/>
        <v>2894.06</v>
      </c>
      <c r="Q4" s="4">
        <f t="shared" si="2"/>
        <v>5725.51</v>
      </c>
      <c r="R4" s="4">
        <f t="shared" si="2"/>
        <v>7307.29</v>
      </c>
      <c r="S4" s="4">
        <f t="shared" si="2"/>
        <v>10232.26</v>
      </c>
      <c r="T4" s="4">
        <f t="shared" si="2"/>
        <v>19021.74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173300.8</v>
      </c>
      <c r="G5" s="4">
        <f>G7</f>
        <v>91927.77</v>
      </c>
      <c r="H5" s="7">
        <f t="shared" si="1"/>
        <v>72919.86</v>
      </c>
      <c r="I5" s="40">
        <f>I7</f>
        <v>2297.34</v>
      </c>
      <c r="J5" s="40">
        <f>J7</f>
        <v>2803.34</v>
      </c>
      <c r="K5" s="40">
        <f>K7</f>
        <v>3553.51</v>
      </c>
      <c r="L5" s="40">
        <f>L7</f>
        <v>5541.6</v>
      </c>
      <c r="M5" s="40">
        <f aca="true" t="shared" si="3" ref="M5:T5">M7</f>
        <v>2722.33</v>
      </c>
      <c r="N5" s="4">
        <f t="shared" si="3"/>
        <v>7751.44</v>
      </c>
      <c r="O5" s="4">
        <f t="shared" si="3"/>
        <v>3069.44</v>
      </c>
      <c r="P5" s="4">
        <f t="shared" si="3"/>
        <v>2894.06</v>
      </c>
      <c r="Q5" s="4">
        <f t="shared" si="3"/>
        <v>5725.51</v>
      </c>
      <c r="R5" s="4">
        <f t="shared" si="3"/>
        <v>7307.29</v>
      </c>
      <c r="S5" s="4">
        <f t="shared" si="3"/>
        <v>10232.26</v>
      </c>
      <c r="T5" s="4">
        <f t="shared" si="3"/>
        <v>19021.74</v>
      </c>
    </row>
    <row r="6" spans="1:20" s="11" customFormat="1" ht="11.25">
      <c r="A6" s="8"/>
      <c r="B6" s="8"/>
      <c r="C6" s="8"/>
      <c r="D6" s="8"/>
      <c r="E6" s="8" t="s">
        <v>9</v>
      </c>
      <c r="F6" s="9">
        <v>0</v>
      </c>
      <c r="G6" s="9">
        <v>0</v>
      </c>
      <c r="H6" s="10">
        <f t="shared" si="1"/>
        <v>0</v>
      </c>
      <c r="I6" s="41">
        <f aca="true" t="shared" si="4" ref="I6:T6">I77</f>
        <v>0</v>
      </c>
      <c r="J6" s="41">
        <f t="shared" si="4"/>
        <v>0</v>
      </c>
      <c r="K6" s="41">
        <f t="shared" si="4"/>
        <v>0</v>
      </c>
      <c r="L6" s="41">
        <f t="shared" si="4"/>
        <v>0</v>
      </c>
      <c r="M6" s="41">
        <f t="shared" si="4"/>
        <v>0</v>
      </c>
      <c r="N6" s="9">
        <f t="shared" si="4"/>
        <v>0</v>
      </c>
      <c r="O6" s="9">
        <f t="shared" si="4"/>
        <v>0</v>
      </c>
      <c r="P6" s="9">
        <f t="shared" si="4"/>
        <v>0</v>
      </c>
      <c r="Q6" s="9">
        <f t="shared" si="4"/>
        <v>0</v>
      </c>
      <c r="R6" s="9">
        <f t="shared" si="4"/>
        <v>0</v>
      </c>
      <c r="S6" s="9">
        <f t="shared" si="4"/>
        <v>0</v>
      </c>
      <c r="T6" s="9">
        <f t="shared" si="4"/>
        <v>0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173300.8</v>
      </c>
      <c r="G7" s="13">
        <v>91927.77</v>
      </c>
      <c r="H7" s="10">
        <f t="shared" si="1"/>
        <v>72919.86</v>
      </c>
      <c r="I7" s="38">
        <v>2297.34</v>
      </c>
      <c r="J7" s="38">
        <v>2803.34</v>
      </c>
      <c r="K7" s="38">
        <v>3553.51</v>
      </c>
      <c r="L7" s="38">
        <v>5541.6</v>
      </c>
      <c r="M7" s="38">
        <v>2722.33</v>
      </c>
      <c r="N7" s="13">
        <v>7751.44</v>
      </c>
      <c r="O7" s="13">
        <v>3069.44</v>
      </c>
      <c r="P7" s="13">
        <v>2894.06</v>
      </c>
      <c r="Q7" s="13">
        <v>5725.51</v>
      </c>
      <c r="R7" s="13">
        <v>7307.29</v>
      </c>
      <c r="S7" s="13">
        <v>10232.26</v>
      </c>
      <c r="T7" s="13">
        <v>19021.74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5" ref="M8:T8">M9+M11</f>
        <v>0</v>
      </c>
      <c r="N8" s="4">
        <f t="shared" si="5"/>
        <v>0</v>
      </c>
      <c r="O8" s="4">
        <f t="shared" si="5"/>
        <v>0</v>
      </c>
      <c r="P8" s="4">
        <f t="shared" si="5"/>
        <v>0</v>
      </c>
      <c r="Q8" s="4">
        <f t="shared" si="5"/>
        <v>0</v>
      </c>
      <c r="R8" s="4">
        <f t="shared" si="5"/>
        <v>0</v>
      </c>
      <c r="S8" s="4">
        <f t="shared" si="5"/>
        <v>0</v>
      </c>
      <c r="T8" s="4">
        <f t="shared" si="5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0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0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0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8" ref="I15:T16">I16</f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-79199.61</v>
      </c>
      <c r="G18" s="4">
        <f>G19+G27</f>
        <v>-61818.479999999996</v>
      </c>
      <c r="H18" s="7">
        <f t="shared" si="1"/>
        <v>-52835.66</v>
      </c>
      <c r="I18" s="40">
        <f>I19+I27</f>
        <v>-2046.1100000000001</v>
      </c>
      <c r="J18" s="40">
        <f>J19+J27</f>
        <v>-1655.3400000000001</v>
      </c>
      <c r="K18" s="40">
        <f>K19+K27</f>
        <v>-1264.6</v>
      </c>
      <c r="L18" s="40">
        <f>L19+L27</f>
        <v>-3811.27</v>
      </c>
      <c r="M18" s="40">
        <f aca="true" t="shared" si="9" ref="M18:T18">M19+M27</f>
        <v>-1489.97</v>
      </c>
      <c r="N18" s="4">
        <f t="shared" si="9"/>
        <v>-5690.08</v>
      </c>
      <c r="O18" s="4">
        <f t="shared" si="9"/>
        <v>-4364.12</v>
      </c>
      <c r="P18" s="4">
        <f t="shared" si="9"/>
        <v>-2464</v>
      </c>
      <c r="Q18" s="4">
        <f t="shared" si="9"/>
        <v>-5633.51</v>
      </c>
      <c r="R18" s="4">
        <f t="shared" si="9"/>
        <v>-9827</v>
      </c>
      <c r="S18" s="4">
        <f t="shared" si="9"/>
        <v>-6448.68</v>
      </c>
      <c r="T18" s="4">
        <f t="shared" si="9"/>
        <v>-8140.98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-32602.9</v>
      </c>
      <c r="G19" s="4">
        <f>G20+G26+G23</f>
        <v>-16615.55</v>
      </c>
      <c r="H19" s="7">
        <f t="shared" si="1"/>
        <v>-24497.75</v>
      </c>
      <c r="I19" s="40">
        <f>I20+I26+I23</f>
        <v>-918.7</v>
      </c>
      <c r="J19" s="40">
        <f>J20+J26+J23</f>
        <v>-160.9</v>
      </c>
      <c r="K19" s="40">
        <f>K20+K26+K23</f>
        <v>-1083.5</v>
      </c>
      <c r="L19" s="40">
        <f>L20+L26+L23</f>
        <v>-2727</v>
      </c>
      <c r="M19" s="40">
        <f aca="true" t="shared" si="10" ref="M19:T19">M20+M26+M23</f>
        <v>-976.75</v>
      </c>
      <c r="N19" s="4">
        <f t="shared" si="10"/>
        <v>-975</v>
      </c>
      <c r="O19" s="4">
        <f t="shared" si="10"/>
        <v>-1716.8</v>
      </c>
      <c r="P19" s="4">
        <f t="shared" si="10"/>
        <v>-974</v>
      </c>
      <c r="Q19" s="4">
        <f t="shared" si="10"/>
        <v>-1365.05</v>
      </c>
      <c r="R19" s="4">
        <f t="shared" si="10"/>
        <v>-4056.3</v>
      </c>
      <c r="S19" s="4">
        <f t="shared" si="10"/>
        <v>-4774.5</v>
      </c>
      <c r="T19" s="4">
        <f t="shared" si="10"/>
        <v>-4769.25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-24467.9</v>
      </c>
      <c r="G20" s="4">
        <f>SUM(G21:G22)</f>
        <v>-12398.55</v>
      </c>
      <c r="H20" s="7">
        <f t="shared" si="1"/>
        <v>-18240.75</v>
      </c>
      <c r="I20" s="40">
        <f>SUM(I21:I22)</f>
        <v>-684.7</v>
      </c>
      <c r="J20" s="40">
        <f>SUM(J21:J22)</f>
        <v>-120.9</v>
      </c>
      <c r="K20" s="40">
        <f>SUM(K21:K22)</f>
        <v>-805.5</v>
      </c>
      <c r="L20" s="40">
        <f>SUM(L21:L22)</f>
        <v>-2030</v>
      </c>
      <c r="M20" s="40">
        <f aca="true" t="shared" si="11" ref="M20:T20">SUM(M21:M22)</f>
        <v>-726.75</v>
      </c>
      <c r="N20" s="4">
        <f t="shared" si="11"/>
        <v>-725</v>
      </c>
      <c r="O20" s="4">
        <f t="shared" si="11"/>
        <v>-1276.8</v>
      </c>
      <c r="P20" s="4">
        <f t="shared" si="11"/>
        <v>-725</v>
      </c>
      <c r="Q20" s="4">
        <f t="shared" si="11"/>
        <v>-1015.05</v>
      </c>
      <c r="R20" s="4">
        <f t="shared" si="11"/>
        <v>-3029.3</v>
      </c>
      <c r="S20" s="4">
        <f t="shared" si="11"/>
        <v>-3552.5</v>
      </c>
      <c r="T20" s="4">
        <f t="shared" si="11"/>
        <v>-3549.25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-23193.9</v>
      </c>
      <c r="G21" s="13">
        <v>-12398.55</v>
      </c>
      <c r="H21" s="10">
        <f t="shared" si="1"/>
        <v>-18240.75</v>
      </c>
      <c r="I21" s="38">
        <v>-684.7</v>
      </c>
      <c r="J21" s="38">
        <v>-120.9</v>
      </c>
      <c r="K21" s="38">
        <v>-805.5</v>
      </c>
      <c r="L21" s="38">
        <v>-2030</v>
      </c>
      <c r="M21" s="38">
        <v>-726.75</v>
      </c>
      <c r="N21" s="13">
        <v>-725</v>
      </c>
      <c r="O21" s="13">
        <v>-1276.8</v>
      </c>
      <c r="P21" s="13">
        <v>-725</v>
      </c>
      <c r="Q21" s="13">
        <v>-1015.05</v>
      </c>
      <c r="R21" s="13">
        <v>-3029.3</v>
      </c>
      <c r="S21" s="13">
        <v>-3552.5</v>
      </c>
      <c r="T21" s="13">
        <v>-3549.25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>
        <v>-1274</v>
      </c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-8135</v>
      </c>
      <c r="G26" s="4">
        <v>-4217</v>
      </c>
      <c r="H26" s="7">
        <f t="shared" si="1"/>
        <v>-6257</v>
      </c>
      <c r="I26" s="40">
        <v>-234</v>
      </c>
      <c r="J26" s="40">
        <v>-40</v>
      </c>
      <c r="K26" s="40">
        <v>-278</v>
      </c>
      <c r="L26" s="40">
        <v>-697</v>
      </c>
      <c r="M26" s="40">
        <v>-250</v>
      </c>
      <c r="N26" s="4">
        <v>-250</v>
      </c>
      <c r="O26" s="4">
        <v>-440</v>
      </c>
      <c r="P26" s="4">
        <v>-249</v>
      </c>
      <c r="Q26" s="4">
        <v>-350</v>
      </c>
      <c r="R26" s="4">
        <v>-1027</v>
      </c>
      <c r="S26" s="4">
        <v>-1222</v>
      </c>
      <c r="T26" s="4">
        <v>-1220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-46596.71</v>
      </c>
      <c r="G27" s="4">
        <f>SUM(G28:G41)</f>
        <v>-45202.93</v>
      </c>
      <c r="H27" s="7">
        <f t="shared" si="1"/>
        <v>-28337.91</v>
      </c>
      <c r="I27" s="40">
        <f>SUM(I28:I41)</f>
        <v>-1127.41</v>
      </c>
      <c r="J27" s="40">
        <f aca="true" t="shared" si="13" ref="J27:T27">SUM(J28:J41)</f>
        <v>-1494.44</v>
      </c>
      <c r="K27" s="40">
        <f t="shared" si="13"/>
        <v>-181.1</v>
      </c>
      <c r="L27" s="40">
        <f t="shared" si="13"/>
        <v>-1084.27</v>
      </c>
      <c r="M27" s="40">
        <f t="shared" si="13"/>
        <v>-513.22</v>
      </c>
      <c r="N27" s="4">
        <f t="shared" si="13"/>
        <v>-4715.08</v>
      </c>
      <c r="O27" s="4">
        <f t="shared" si="13"/>
        <v>-2647.32</v>
      </c>
      <c r="P27" s="4">
        <f t="shared" si="13"/>
        <v>-1490</v>
      </c>
      <c r="Q27" s="4">
        <f t="shared" si="13"/>
        <v>-4268.46</v>
      </c>
      <c r="R27" s="4">
        <f t="shared" si="13"/>
        <v>-5770.7</v>
      </c>
      <c r="S27" s="4">
        <f t="shared" si="13"/>
        <v>-1674.18</v>
      </c>
      <c r="T27" s="4">
        <f t="shared" si="13"/>
        <v>-3371.73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/>
      <c r="G28" s="13"/>
      <c r="H28" s="10">
        <f t="shared" si="1"/>
        <v>-10</v>
      </c>
      <c r="I28" s="38"/>
      <c r="J28" s="38"/>
      <c r="K28" s="38"/>
      <c r="L28" s="38"/>
      <c r="M28" s="38"/>
      <c r="N28" s="13">
        <v>-10</v>
      </c>
      <c r="O28" s="13"/>
      <c r="P28" s="13"/>
      <c r="Q28" s="13"/>
      <c r="R28" s="13"/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-396.12</v>
      </c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/>
      <c r="G31" s="13">
        <v>-123.51</v>
      </c>
      <c r="H31" s="10">
        <f t="shared" si="1"/>
        <v>-1008.37</v>
      </c>
      <c r="I31" s="38"/>
      <c r="J31" s="38"/>
      <c r="K31" s="38"/>
      <c r="L31" s="38"/>
      <c r="M31" s="38"/>
      <c r="N31" s="13"/>
      <c r="O31" s="13">
        <v>-278.37</v>
      </c>
      <c r="P31" s="13">
        <v>-606.5</v>
      </c>
      <c r="Q31" s="13">
        <v>-123.5</v>
      </c>
      <c r="R31" s="13"/>
      <c r="S31" s="13"/>
      <c r="T31" s="13"/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-1167.64</v>
      </c>
      <c r="G32" s="13">
        <v>-130.29</v>
      </c>
      <c r="H32" s="10">
        <f t="shared" si="1"/>
        <v>-1567</v>
      </c>
      <c r="I32" s="38"/>
      <c r="J32" s="38"/>
      <c r="K32" s="38"/>
      <c r="L32" s="38"/>
      <c r="M32" s="38"/>
      <c r="N32" s="13"/>
      <c r="O32" s="13">
        <v>-404</v>
      </c>
      <c r="P32" s="13">
        <v>-171</v>
      </c>
      <c r="Q32" s="13">
        <v>-480</v>
      </c>
      <c r="R32" s="13"/>
      <c r="S32" s="13">
        <v>-512</v>
      </c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/>
      <c r="G34" s="13">
        <v>-6754.25</v>
      </c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/>
      <c r="H35" s="10">
        <f t="shared" si="1"/>
        <v>-665</v>
      </c>
      <c r="I35" s="38"/>
      <c r="J35" s="38"/>
      <c r="K35" s="38"/>
      <c r="L35" s="38"/>
      <c r="M35" s="38"/>
      <c r="N35" s="13"/>
      <c r="O35" s="13"/>
      <c r="P35" s="13">
        <v>-665</v>
      </c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-45032.95</v>
      </c>
      <c r="G38" s="13">
        <v>-38194.88</v>
      </c>
      <c r="H38" s="10">
        <f t="shared" si="1"/>
        <v>-25087.54</v>
      </c>
      <c r="I38" s="38">
        <v>-1127.41</v>
      </c>
      <c r="J38" s="38">
        <v>-1494.44</v>
      </c>
      <c r="K38" s="38">
        <v>-181.1</v>
      </c>
      <c r="L38" s="38">
        <v>-1084.27</v>
      </c>
      <c r="M38" s="38">
        <v>-513.22</v>
      </c>
      <c r="N38" s="13">
        <v>-4705.08</v>
      </c>
      <c r="O38" s="13">
        <v>-1964.95</v>
      </c>
      <c r="P38" s="13">
        <v>-47.5</v>
      </c>
      <c r="Q38" s="13">
        <v>-3664.96</v>
      </c>
      <c r="R38" s="13">
        <v>-5770.7</v>
      </c>
      <c r="S38" s="13">
        <v>-1162.18</v>
      </c>
      <c r="T38" s="13">
        <v>-3371.73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-300</v>
      </c>
      <c r="G42" s="4">
        <f>G43+G48+G55+G58</f>
        <v>-890</v>
      </c>
      <c r="H42" s="4">
        <f t="shared" si="1"/>
        <v>-2732.33</v>
      </c>
      <c r="I42" s="40">
        <f aca="true" t="shared" si="14" ref="I42:T42">I43+I48+I55+I58</f>
        <v>0</v>
      </c>
      <c r="J42" s="40">
        <f t="shared" si="14"/>
        <v>0</v>
      </c>
      <c r="K42" s="40">
        <f t="shared" si="14"/>
        <v>0</v>
      </c>
      <c r="L42" s="40">
        <f t="shared" si="14"/>
        <v>0</v>
      </c>
      <c r="M42" s="40">
        <f t="shared" si="14"/>
        <v>0</v>
      </c>
      <c r="N42" s="4">
        <f t="shared" si="14"/>
        <v>0</v>
      </c>
      <c r="O42" s="4">
        <f t="shared" si="14"/>
        <v>0</v>
      </c>
      <c r="P42" s="4">
        <f t="shared" si="14"/>
        <v>0</v>
      </c>
      <c r="Q42" s="4">
        <f t="shared" si="14"/>
        <v>0</v>
      </c>
      <c r="R42" s="4">
        <f>R43+R48+R55+R58</f>
        <v>0</v>
      </c>
      <c r="S42" s="4">
        <f t="shared" si="14"/>
        <v>0</v>
      </c>
      <c r="T42" s="4">
        <f t="shared" si="14"/>
        <v>-2732.33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-300</v>
      </c>
      <c r="G43" s="4">
        <f>G44+G46+G47</f>
        <v>-890</v>
      </c>
      <c r="H43" s="7">
        <f t="shared" si="1"/>
        <v>-2732.33</v>
      </c>
      <c r="I43" s="40">
        <f aca="true" t="shared" si="15" ref="I43:T43">I44+I46+I47</f>
        <v>0</v>
      </c>
      <c r="J43" s="40">
        <f t="shared" si="15"/>
        <v>0</v>
      </c>
      <c r="K43" s="40">
        <f t="shared" si="15"/>
        <v>0</v>
      </c>
      <c r="L43" s="40">
        <f t="shared" si="15"/>
        <v>0</v>
      </c>
      <c r="M43" s="40">
        <f t="shared" si="15"/>
        <v>0</v>
      </c>
      <c r="N43" s="4">
        <f t="shared" si="15"/>
        <v>0</v>
      </c>
      <c r="O43" s="4">
        <f t="shared" si="15"/>
        <v>0</v>
      </c>
      <c r="P43" s="4">
        <f t="shared" si="15"/>
        <v>0</v>
      </c>
      <c r="Q43" s="4">
        <f t="shared" si="15"/>
        <v>0</v>
      </c>
      <c r="R43" s="4">
        <f t="shared" si="15"/>
        <v>0</v>
      </c>
      <c r="S43" s="4">
        <f t="shared" si="15"/>
        <v>0</v>
      </c>
      <c r="T43" s="4">
        <f t="shared" si="15"/>
        <v>-2732.33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-300</v>
      </c>
      <c r="G44" s="4">
        <f>G45</f>
        <v>-750</v>
      </c>
      <c r="H44" s="7">
        <f t="shared" si="1"/>
        <v>0</v>
      </c>
      <c r="I44" s="40">
        <f>I45</f>
        <v>0</v>
      </c>
      <c r="J44" s="40">
        <f>J45</f>
        <v>0</v>
      </c>
      <c r="K44" s="40">
        <f>K45</f>
        <v>0</v>
      </c>
      <c r="L44" s="40">
        <f>L45</f>
        <v>0</v>
      </c>
      <c r="M44" s="40">
        <f aca="true" t="shared" si="16" ref="M44:T44">M45</f>
        <v>0</v>
      </c>
      <c r="N44" s="4">
        <f t="shared" si="16"/>
        <v>0</v>
      </c>
      <c r="O44" s="4">
        <f t="shared" si="16"/>
        <v>0</v>
      </c>
      <c r="P44" s="4">
        <f t="shared" si="16"/>
        <v>0</v>
      </c>
      <c r="Q44" s="4">
        <f t="shared" si="16"/>
        <v>0</v>
      </c>
      <c r="R44" s="4">
        <f t="shared" si="16"/>
        <v>0</v>
      </c>
      <c r="S44" s="4">
        <f t="shared" si="16"/>
        <v>0</v>
      </c>
      <c r="T44" s="4">
        <f t="shared" si="16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-300</v>
      </c>
      <c r="G45" s="13">
        <v>-750</v>
      </c>
      <c r="H45" s="10">
        <f t="shared" si="1"/>
        <v>0</v>
      </c>
      <c r="I45" s="38"/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-140</v>
      </c>
      <c r="H46" s="7">
        <f t="shared" si="1"/>
        <v>-2732.33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>
        <v>-2732.33</v>
      </c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0</v>
      </c>
      <c r="G48" s="4">
        <f>G54+G49</f>
        <v>0</v>
      </c>
      <c r="H48" s="7">
        <f t="shared" si="1"/>
        <v>0</v>
      </c>
      <c r="I48" s="40">
        <f>I54+I49</f>
        <v>0</v>
      </c>
      <c r="J48" s="40">
        <f>J54+J49</f>
        <v>0</v>
      </c>
      <c r="K48" s="40">
        <f>K54+K49</f>
        <v>0</v>
      </c>
      <c r="L48" s="40">
        <f>L54+L49</f>
        <v>0</v>
      </c>
      <c r="M48" s="40">
        <f aca="true" t="shared" si="17" ref="M48:T48">M54+M49</f>
        <v>0</v>
      </c>
      <c r="N48" s="4">
        <f t="shared" si="17"/>
        <v>0</v>
      </c>
      <c r="O48" s="4">
        <f t="shared" si="17"/>
        <v>0</v>
      </c>
      <c r="P48" s="4">
        <f t="shared" si="17"/>
        <v>0</v>
      </c>
      <c r="Q48" s="4">
        <f t="shared" si="17"/>
        <v>0</v>
      </c>
      <c r="R48" s="4">
        <f t="shared" si="17"/>
        <v>0</v>
      </c>
      <c r="S48" s="4">
        <f t="shared" si="17"/>
        <v>0</v>
      </c>
      <c r="T48" s="4">
        <f t="shared" si="17"/>
        <v>0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0</v>
      </c>
      <c r="G49" s="4">
        <f>SUM(G50:G53)</f>
        <v>0</v>
      </c>
      <c r="H49" s="7">
        <f t="shared" si="1"/>
        <v>0</v>
      </c>
      <c r="I49" s="40">
        <f>SUM(I50:I53)</f>
        <v>0</v>
      </c>
      <c r="J49" s="40">
        <f>SUM(J50:J53)</f>
        <v>0</v>
      </c>
      <c r="K49" s="40">
        <f>SUM(K50:K53)</f>
        <v>0</v>
      </c>
      <c r="L49" s="40">
        <f>SUM(L50:L53)</f>
        <v>0</v>
      </c>
      <c r="M49" s="40">
        <f aca="true" t="shared" si="18" ref="M49:T49">SUM(M50:M53)</f>
        <v>0</v>
      </c>
      <c r="N49" s="4">
        <f t="shared" si="18"/>
        <v>0</v>
      </c>
      <c r="O49" s="4">
        <f t="shared" si="18"/>
        <v>0</v>
      </c>
      <c r="P49" s="4">
        <f t="shared" si="18"/>
        <v>0</v>
      </c>
      <c r="Q49" s="4">
        <f t="shared" si="18"/>
        <v>0</v>
      </c>
      <c r="R49" s="4">
        <f t="shared" si="18"/>
        <v>0</v>
      </c>
      <c r="S49" s="4">
        <f t="shared" si="18"/>
        <v>0</v>
      </c>
      <c r="T49" s="4">
        <f t="shared" si="18"/>
        <v>0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/>
      <c r="G50" s="13"/>
      <c r="H50" s="10">
        <f t="shared" si="1"/>
        <v>0</v>
      </c>
      <c r="I50" s="38"/>
      <c r="J50" s="38"/>
      <c r="K50" s="38"/>
      <c r="L50" s="38"/>
      <c r="M50" s="38"/>
      <c r="N50" s="13"/>
      <c r="O50" s="13"/>
      <c r="P50" s="13"/>
      <c r="Q50" s="13"/>
      <c r="R50" s="13"/>
      <c r="S50" s="13"/>
      <c r="T50" s="13"/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/>
      <c r="H51" s="10">
        <f t="shared" si="1"/>
        <v>0</v>
      </c>
      <c r="I51" s="38"/>
      <c r="J51" s="38"/>
      <c r="K51" s="38"/>
      <c r="L51" s="38"/>
      <c r="M51" s="38"/>
      <c r="N51" s="13"/>
      <c r="O51" s="13"/>
      <c r="P51" s="13"/>
      <c r="Q51" s="13"/>
      <c r="R51" s="13"/>
      <c r="S51" s="13"/>
      <c r="T51" s="13"/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0</v>
      </c>
      <c r="H55" s="7">
        <f t="shared" si="1"/>
        <v>0</v>
      </c>
      <c r="I55" s="40">
        <f>I57+I56</f>
        <v>0</v>
      </c>
      <c r="J55" s="40">
        <f>J57+J56</f>
        <v>0</v>
      </c>
      <c r="K55" s="40">
        <f>K57+K56</f>
        <v>0</v>
      </c>
      <c r="L55" s="40">
        <f>L57+L56</f>
        <v>0</v>
      </c>
      <c r="M55" s="40">
        <f aca="true" t="shared" si="19" ref="M55:T55">M57+M56</f>
        <v>0</v>
      </c>
      <c r="N55" s="4">
        <f t="shared" si="19"/>
        <v>0</v>
      </c>
      <c r="O55" s="4">
        <f t="shared" si="19"/>
        <v>0</v>
      </c>
      <c r="P55" s="4">
        <f t="shared" si="19"/>
        <v>0</v>
      </c>
      <c r="Q55" s="4">
        <f t="shared" si="19"/>
        <v>0</v>
      </c>
      <c r="R55" s="4">
        <f t="shared" si="19"/>
        <v>0</v>
      </c>
      <c r="S55" s="4">
        <f t="shared" si="19"/>
        <v>0</v>
      </c>
      <c r="T55" s="4">
        <f t="shared" si="19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/>
      <c r="H56" s="7">
        <f t="shared" si="1"/>
        <v>0</v>
      </c>
      <c r="I56" s="40"/>
      <c r="J56" s="40"/>
      <c r="K56" s="40"/>
      <c r="L56" s="40"/>
      <c r="M56" s="40"/>
      <c r="N56" s="4"/>
      <c r="O56" s="4"/>
      <c r="P56" s="4"/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93801.18999999999</v>
      </c>
      <c r="G59" s="7">
        <f>G3+G15+G18+G42</f>
        <v>29219.290000000008</v>
      </c>
      <c r="H59" s="7">
        <f t="shared" si="1"/>
        <v>17351.870000000003</v>
      </c>
      <c r="I59" s="43">
        <f>I3+I15+I18+I42</f>
        <v>251.23000000000002</v>
      </c>
      <c r="J59" s="43">
        <f>J3+J15+J18+J42</f>
        <v>1148</v>
      </c>
      <c r="K59" s="43">
        <f>K3+K15+K18+K42</f>
        <v>2288.9100000000003</v>
      </c>
      <c r="L59" s="43">
        <f>L3+L15+L18+L42</f>
        <v>1730.3300000000004</v>
      </c>
      <c r="M59" s="43">
        <f aca="true" t="shared" si="20" ref="M59:T59">M3+M15+M18+M42</f>
        <v>1232.36</v>
      </c>
      <c r="N59" s="7">
        <f t="shared" si="20"/>
        <v>2061.3599999999997</v>
      </c>
      <c r="O59" s="7">
        <f t="shared" si="20"/>
        <v>-1294.6799999999998</v>
      </c>
      <c r="P59" s="7">
        <f t="shared" si="20"/>
        <v>430.05999999999995</v>
      </c>
      <c r="Q59" s="7">
        <f t="shared" si="20"/>
        <v>92</v>
      </c>
      <c r="R59" s="7">
        <f t="shared" si="20"/>
        <v>-2519.71</v>
      </c>
      <c r="S59" s="7">
        <f t="shared" si="20"/>
        <v>3783.58</v>
      </c>
      <c r="T59" s="7">
        <f t="shared" si="20"/>
        <v>8148.430000000002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94</v>
      </c>
      <c r="O61" s="5" t="s">
        <v>95</v>
      </c>
      <c r="P61" s="5" t="s">
        <v>96</v>
      </c>
      <c r="Q61" s="5" t="s">
        <v>97</v>
      </c>
      <c r="R61" s="5" t="s">
        <v>98</v>
      </c>
      <c r="S61" s="5" t="s">
        <v>99</v>
      </c>
      <c r="T61" s="5" t="s">
        <v>271</v>
      </c>
    </row>
    <row r="62" spans="5:20" ht="12.75">
      <c r="E62" s="18" t="s">
        <v>68</v>
      </c>
      <c r="F62" s="112"/>
      <c r="G62" s="112"/>
      <c r="H62" s="21">
        <f>SUM(I62:T62)</f>
        <v>18240.8</v>
      </c>
      <c r="I62" s="44">
        <f>SUM(I63:I71)</f>
        <v>684.7</v>
      </c>
      <c r="J62" s="44">
        <f>SUM(J63:J71)</f>
        <v>120.9</v>
      </c>
      <c r="K62" s="44">
        <f>SUM(K63:K71)</f>
        <v>805.55</v>
      </c>
      <c r="L62" s="44">
        <f>SUM(L63:L71)</f>
        <v>2030</v>
      </c>
      <c r="M62" s="44">
        <f aca="true" t="shared" si="21" ref="M62:T62">SUM(M63:M71)</f>
        <v>726.75</v>
      </c>
      <c r="N62">
        <f t="shared" si="21"/>
        <v>725</v>
      </c>
      <c r="O62">
        <f t="shared" si="21"/>
        <v>1276.8</v>
      </c>
      <c r="P62">
        <f t="shared" si="21"/>
        <v>725</v>
      </c>
      <c r="Q62">
        <f t="shared" si="21"/>
        <v>1015.05</v>
      </c>
      <c r="R62">
        <f t="shared" si="21"/>
        <v>3029.3</v>
      </c>
      <c r="S62">
        <f t="shared" si="21"/>
        <v>3552.5</v>
      </c>
      <c r="T62">
        <f t="shared" si="21"/>
        <v>3549.25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17043.35</v>
      </c>
      <c r="I63" s="46">
        <v>684.7</v>
      </c>
      <c r="J63" s="46">
        <v>120.9</v>
      </c>
      <c r="K63" s="46">
        <v>805.55</v>
      </c>
      <c r="L63" s="46">
        <v>2030</v>
      </c>
      <c r="M63" s="46">
        <v>726.75</v>
      </c>
      <c r="N63" s="24">
        <v>725</v>
      </c>
      <c r="O63" s="24">
        <v>580</v>
      </c>
      <c r="P63" s="24">
        <v>725</v>
      </c>
      <c r="Q63" s="24">
        <v>1015.05</v>
      </c>
      <c r="R63" s="24">
        <v>2887.9</v>
      </c>
      <c r="S63" s="24">
        <v>3552.5</v>
      </c>
      <c r="T63" s="24">
        <v>3190</v>
      </c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2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2"/>
        <v>1056.05</v>
      </c>
      <c r="I65" s="47"/>
      <c r="J65" s="47"/>
      <c r="K65" s="47"/>
      <c r="L65" s="47"/>
      <c r="M65" s="47"/>
      <c r="N65" s="27"/>
      <c r="O65" s="27">
        <v>696.8</v>
      </c>
      <c r="P65" s="27"/>
      <c r="Q65" s="27"/>
      <c r="R65" s="27"/>
      <c r="S65" s="27"/>
      <c r="T65" s="27">
        <v>359.25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2"/>
        <v>141.4</v>
      </c>
      <c r="I66" s="47"/>
      <c r="J66" s="47"/>
      <c r="K66" s="47"/>
      <c r="L66" s="47"/>
      <c r="M66" s="47"/>
      <c r="N66" s="27"/>
      <c r="O66" s="27"/>
      <c r="P66" s="27"/>
      <c r="Q66" s="27"/>
      <c r="R66" s="27">
        <v>141.4</v>
      </c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2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2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2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6007.251</v>
      </c>
      <c r="I72" s="24">
        <f aca="true" t="shared" si="23" ref="I72:P72">I62*33/100</f>
        <v>225.95100000000002</v>
      </c>
      <c r="J72" s="24">
        <f t="shared" si="23"/>
        <v>39.897000000000006</v>
      </c>
      <c r="K72" s="24">
        <f t="shared" si="23"/>
        <v>265.8315</v>
      </c>
      <c r="L72" s="24">
        <f t="shared" si="23"/>
        <v>669.9</v>
      </c>
      <c r="M72" s="24">
        <f t="shared" si="23"/>
        <v>239.8275</v>
      </c>
      <c r="N72" s="24">
        <f t="shared" si="23"/>
        <v>239.25</v>
      </c>
      <c r="O72" s="24">
        <f t="shared" si="23"/>
        <v>421.344</v>
      </c>
      <c r="P72" s="24">
        <f t="shared" si="23"/>
        <v>239.25</v>
      </c>
      <c r="Q72" s="24">
        <v>336</v>
      </c>
      <c r="R72" s="24">
        <v>987</v>
      </c>
      <c r="S72" s="24">
        <v>1172</v>
      </c>
      <c r="T72" s="24">
        <v>1171</v>
      </c>
    </row>
    <row r="73" spans="5:20" ht="12.75">
      <c r="E73" s="28" t="s">
        <v>74</v>
      </c>
      <c r="F73" s="28"/>
      <c r="G73" s="28"/>
      <c r="H73" s="21">
        <f>SUM(I73:T73)</f>
        <v>252.3258</v>
      </c>
      <c r="I73" s="24">
        <f aca="true" t="shared" si="24" ref="I73:P73">1.4*I62/100</f>
        <v>9.5858</v>
      </c>
      <c r="J73" s="24">
        <f t="shared" si="24"/>
        <v>1.6925999999999999</v>
      </c>
      <c r="K73" s="24">
        <f t="shared" si="24"/>
        <v>11.277699999999998</v>
      </c>
      <c r="L73" s="24">
        <f t="shared" si="24"/>
        <v>28.42</v>
      </c>
      <c r="M73" s="24">
        <f t="shared" si="24"/>
        <v>10.1745</v>
      </c>
      <c r="N73" s="24">
        <f t="shared" si="24"/>
        <v>10.149999999999999</v>
      </c>
      <c r="O73" s="24">
        <f t="shared" si="24"/>
        <v>17.875199999999996</v>
      </c>
      <c r="P73" s="24">
        <f t="shared" si="24"/>
        <v>10.149999999999999</v>
      </c>
      <c r="Q73" s="24">
        <v>14</v>
      </c>
      <c r="R73" s="24">
        <v>40</v>
      </c>
      <c r="S73" s="24">
        <v>50</v>
      </c>
      <c r="T73" s="24">
        <v>49</v>
      </c>
    </row>
    <row r="74" spans="6:20" ht="12.75">
      <c r="F74" s="29"/>
      <c r="G74" s="29"/>
      <c r="H74" s="21">
        <f>SUM(I74:T74)</f>
        <v>24500.3768</v>
      </c>
      <c r="I74" s="24">
        <f aca="true" t="shared" si="25" ref="I74:T74">I62+I72+I73</f>
        <v>920.2368</v>
      </c>
      <c r="J74" s="24">
        <f t="shared" si="25"/>
        <v>162.48960000000002</v>
      </c>
      <c r="K74" s="24">
        <f t="shared" si="25"/>
        <v>1082.6592</v>
      </c>
      <c r="L74" s="24">
        <f t="shared" si="25"/>
        <v>2728.32</v>
      </c>
      <c r="M74" s="24">
        <f t="shared" si="25"/>
        <v>976.752</v>
      </c>
      <c r="N74" s="24">
        <f t="shared" si="25"/>
        <v>974.4</v>
      </c>
      <c r="O74" s="24">
        <f t="shared" si="25"/>
        <v>1716.0192</v>
      </c>
      <c r="P74" s="24">
        <f t="shared" si="25"/>
        <v>974.4</v>
      </c>
      <c r="Q74" s="24">
        <f t="shared" si="25"/>
        <v>1365.05</v>
      </c>
      <c r="R74" s="24">
        <f t="shared" si="25"/>
        <v>4056.3</v>
      </c>
      <c r="S74" s="24">
        <f t="shared" si="25"/>
        <v>4774.5</v>
      </c>
      <c r="T74" s="24">
        <f t="shared" si="25"/>
        <v>4769.25</v>
      </c>
    </row>
    <row r="75" spans="5:20" ht="12.75">
      <c r="E75" s="30" t="s">
        <v>75</v>
      </c>
      <c r="H75" s="21" t="s">
        <v>76</v>
      </c>
      <c r="I75" s="48"/>
      <c r="J75" s="48"/>
      <c r="K75" s="48"/>
      <c r="L75" s="48"/>
      <c r="M75" s="48"/>
      <c r="N75" s="31"/>
      <c r="O75" s="31"/>
      <c r="P75" s="31"/>
      <c r="Q75" s="31"/>
      <c r="R75" s="31"/>
      <c r="S75" s="31"/>
      <c r="T75" s="31"/>
    </row>
    <row r="76" spans="1:20" ht="25.5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77</v>
      </c>
      <c r="H77" s="7">
        <f>SUM(I77:T77)</f>
        <v>0</v>
      </c>
      <c r="I77" s="32"/>
      <c r="J77" s="32"/>
      <c r="K77" s="32"/>
      <c r="L77" s="32"/>
      <c r="M77" s="32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32" t="s">
        <v>78</v>
      </c>
      <c r="H78" s="7">
        <f>SUM(I78:T78)</f>
        <v>0</v>
      </c>
      <c r="I78" s="40">
        <f>I77*I75</f>
        <v>0</v>
      </c>
      <c r="J78" s="40">
        <f>J77*J75</f>
        <v>0</v>
      </c>
      <c r="K78" s="40">
        <f>K77*K75</f>
        <v>0</v>
      </c>
      <c r="L78" s="40">
        <f>L77*L75</f>
        <v>0</v>
      </c>
      <c r="M78" s="40">
        <f aca="true" t="shared" si="26" ref="M78:T78">M77*M75</f>
        <v>0</v>
      </c>
      <c r="N78" s="4">
        <f t="shared" si="26"/>
        <v>0</v>
      </c>
      <c r="O78" s="4">
        <f t="shared" si="26"/>
        <v>0</v>
      </c>
      <c r="P78" s="4">
        <f t="shared" si="26"/>
        <v>0</v>
      </c>
      <c r="Q78" s="4">
        <f t="shared" si="26"/>
        <v>0</v>
      </c>
      <c r="R78" s="4">
        <f t="shared" si="26"/>
        <v>0</v>
      </c>
      <c r="S78" s="4">
        <f t="shared" si="26"/>
        <v>0</v>
      </c>
      <c r="T78" s="4">
        <f t="shared" si="26"/>
        <v>0</v>
      </c>
    </row>
    <row r="79" spans="1:20" ht="18">
      <c r="A79" s="1"/>
      <c r="B79" s="1"/>
      <c r="C79" s="1"/>
      <c r="D79" s="1"/>
      <c r="E79" s="33" t="s">
        <v>79</v>
      </c>
      <c r="F79" s="2"/>
      <c r="G79" s="2"/>
      <c r="H79" s="7">
        <f aca="true" t="shared" si="27" ref="H79:H92">SUM(I79:T79)</f>
        <v>0</v>
      </c>
      <c r="I79" s="38"/>
      <c r="J79" s="38"/>
      <c r="K79" s="38"/>
      <c r="L79" s="38"/>
      <c r="M79" s="38"/>
      <c r="N79" s="13"/>
      <c r="O79" s="13"/>
      <c r="P79" s="13"/>
      <c r="Q79" s="13"/>
      <c r="R79" s="13"/>
      <c r="S79" s="13"/>
      <c r="T79" s="13"/>
    </row>
    <row r="80" spans="1:20" ht="12.75">
      <c r="A80" s="1"/>
      <c r="B80" s="1"/>
      <c r="C80" s="1"/>
      <c r="D80" s="1"/>
      <c r="E80" s="32" t="s">
        <v>80</v>
      </c>
      <c r="H80" s="7">
        <f t="shared" si="27"/>
        <v>0</v>
      </c>
      <c r="I80" s="38"/>
      <c r="J80" s="38"/>
      <c r="K80" s="38"/>
      <c r="L80" s="38"/>
      <c r="M80" s="38"/>
      <c r="N80" s="13"/>
      <c r="O80" s="13"/>
      <c r="P80" s="13"/>
      <c r="Q80" s="13"/>
      <c r="R80" s="13"/>
      <c r="S80" s="13"/>
      <c r="T80" s="13"/>
    </row>
    <row r="81" spans="1:20" ht="12.75">
      <c r="A81" s="1"/>
      <c r="B81" s="1"/>
      <c r="C81" s="1"/>
      <c r="D81" s="1"/>
      <c r="E81" s="32" t="s">
        <v>81</v>
      </c>
      <c r="F81" s="22"/>
      <c r="G81" s="22"/>
      <c r="H81" s="7">
        <f t="shared" si="27"/>
        <v>0</v>
      </c>
      <c r="I81" s="40">
        <f>I79*I80</f>
        <v>0</v>
      </c>
      <c r="J81" s="40">
        <f>J79*J80</f>
        <v>0</v>
      </c>
      <c r="K81" s="40">
        <f>K79*K80</f>
        <v>0</v>
      </c>
      <c r="L81" s="40">
        <f>L79*L80</f>
        <v>0</v>
      </c>
      <c r="M81" s="40">
        <f aca="true" t="shared" si="28" ref="M81:T81">M79*M80</f>
        <v>0</v>
      </c>
      <c r="N81" s="4">
        <f t="shared" si="28"/>
        <v>0</v>
      </c>
      <c r="O81" s="4">
        <f t="shared" si="28"/>
        <v>0</v>
      </c>
      <c r="P81" s="4">
        <f t="shared" si="28"/>
        <v>0</v>
      </c>
      <c r="Q81" s="4">
        <f t="shared" si="28"/>
        <v>0</v>
      </c>
      <c r="R81" s="4">
        <f t="shared" si="28"/>
        <v>0</v>
      </c>
      <c r="S81" s="4">
        <f t="shared" si="28"/>
        <v>0</v>
      </c>
      <c r="T81" s="4">
        <f t="shared" si="28"/>
        <v>0</v>
      </c>
    </row>
    <row r="82" spans="1:20" ht="12.75">
      <c r="A82" s="1"/>
      <c r="B82" s="1"/>
      <c r="C82" s="1"/>
      <c r="D82" s="1"/>
      <c r="E82" s="33" t="s">
        <v>82</v>
      </c>
      <c r="F82" s="22"/>
      <c r="G82" s="22"/>
      <c r="H82" s="7">
        <f t="shared" si="27"/>
        <v>0</v>
      </c>
      <c r="I82" s="38"/>
      <c r="J82" s="38"/>
      <c r="K82" s="38"/>
      <c r="L82" s="38"/>
      <c r="M82" s="38"/>
      <c r="N82" s="13"/>
      <c r="O82" s="13"/>
      <c r="P82" s="13"/>
      <c r="Q82" s="13"/>
      <c r="R82" s="13"/>
      <c r="S82" s="13"/>
      <c r="T82" s="13"/>
    </row>
    <row r="83" spans="1:20" ht="12.75">
      <c r="A83" s="1"/>
      <c r="B83" s="1"/>
      <c r="C83" s="1"/>
      <c r="D83" s="1"/>
      <c r="E83" s="32" t="s">
        <v>80</v>
      </c>
      <c r="F83" s="26"/>
      <c r="G83" s="26"/>
      <c r="H83" s="7">
        <f t="shared" si="27"/>
        <v>0</v>
      </c>
      <c r="I83" s="32"/>
      <c r="J83" s="32"/>
      <c r="K83" s="32"/>
      <c r="L83" s="32"/>
      <c r="M83" s="32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32" t="s">
        <v>81</v>
      </c>
      <c r="F84" s="26"/>
      <c r="G84" s="26"/>
      <c r="H84" s="7">
        <f t="shared" si="27"/>
        <v>0</v>
      </c>
      <c r="I84" s="40">
        <f>I82*I83</f>
        <v>0</v>
      </c>
      <c r="J84" s="40">
        <f>J82*J83</f>
        <v>0</v>
      </c>
      <c r="K84" s="40">
        <f>K82*K83</f>
        <v>0</v>
      </c>
      <c r="L84" s="40">
        <f>L82*L83</f>
        <v>0</v>
      </c>
      <c r="M84" s="40">
        <f aca="true" t="shared" si="29" ref="M84:T84">M82*M83</f>
        <v>0</v>
      </c>
      <c r="N84" s="4">
        <f t="shared" si="29"/>
        <v>0</v>
      </c>
      <c r="O84" s="4">
        <f t="shared" si="29"/>
        <v>0</v>
      </c>
      <c r="P84" s="4">
        <f t="shared" si="29"/>
        <v>0</v>
      </c>
      <c r="Q84" s="4">
        <f t="shared" si="29"/>
        <v>0</v>
      </c>
      <c r="R84" s="4">
        <f t="shared" si="29"/>
        <v>0</v>
      </c>
      <c r="S84" s="4">
        <f t="shared" si="29"/>
        <v>0</v>
      </c>
      <c r="T84" s="4">
        <f t="shared" si="29"/>
        <v>0</v>
      </c>
    </row>
    <row r="85" spans="6:9" ht="12.75">
      <c r="F85" s="26"/>
      <c r="G85" s="26" t="s">
        <v>83</v>
      </c>
      <c r="H85" s="7">
        <f t="shared" si="27"/>
        <v>0</v>
      </c>
      <c r="I85" s="44"/>
    </row>
    <row r="86" spans="1:20" ht="25.5">
      <c r="A86" s="1"/>
      <c r="B86" s="1"/>
      <c r="C86" s="1"/>
      <c r="D86" s="1"/>
      <c r="E86" s="2"/>
      <c r="H86" s="3">
        <f t="shared" si="27"/>
        <v>0</v>
      </c>
      <c r="I86" s="40" t="s">
        <v>89</v>
      </c>
      <c r="J86" s="40" t="s">
        <v>90</v>
      </c>
      <c r="K86" s="40" t="s">
        <v>91</v>
      </c>
      <c r="L86" s="45" t="s">
        <v>92</v>
      </c>
      <c r="M86" s="40" t="s">
        <v>93</v>
      </c>
      <c r="N86" s="4" t="s">
        <v>94</v>
      </c>
      <c r="O86" s="4" t="s">
        <v>95</v>
      </c>
      <c r="P86" s="5" t="s">
        <v>96</v>
      </c>
      <c r="Q86" s="4" t="s">
        <v>97</v>
      </c>
      <c r="R86" s="4" t="s">
        <v>98</v>
      </c>
      <c r="S86" s="4" t="s">
        <v>99</v>
      </c>
      <c r="T86" s="5" t="s">
        <v>100</v>
      </c>
    </row>
    <row r="87" spans="5:20" ht="12.75">
      <c r="E87" s="18" t="s">
        <v>84</v>
      </c>
      <c r="H87" s="21">
        <f t="shared" si="27"/>
        <v>1567</v>
      </c>
      <c r="I87" s="44">
        <f>SUM(I88:I93)</f>
        <v>0</v>
      </c>
      <c r="J87" s="44">
        <f>SUM(J88:J93)</f>
        <v>0</v>
      </c>
      <c r="K87" s="44">
        <f>SUM(K88:K93)</f>
        <v>0</v>
      </c>
      <c r="L87" s="44">
        <f>SUM(L88:L93)</f>
        <v>0</v>
      </c>
      <c r="M87" s="44">
        <f aca="true" t="shared" si="30" ref="M87:T87">SUM(M88:M93)</f>
        <v>0</v>
      </c>
      <c r="N87">
        <f t="shared" si="30"/>
        <v>0</v>
      </c>
      <c r="O87">
        <f t="shared" si="30"/>
        <v>404</v>
      </c>
      <c r="P87">
        <f t="shared" si="30"/>
        <v>171</v>
      </c>
      <c r="Q87">
        <f t="shared" si="30"/>
        <v>480</v>
      </c>
      <c r="R87">
        <f t="shared" si="30"/>
        <v>0</v>
      </c>
      <c r="S87">
        <f t="shared" si="30"/>
        <v>512</v>
      </c>
      <c r="T87">
        <f t="shared" si="30"/>
        <v>0</v>
      </c>
    </row>
    <row r="88" spans="1:19" s="25" customFormat="1" ht="12.75">
      <c r="A88" s="22"/>
      <c r="B88" s="22"/>
      <c r="C88" s="22"/>
      <c r="D88" s="22"/>
      <c r="E88" s="22" t="s">
        <v>85</v>
      </c>
      <c r="F88" s="18"/>
      <c r="G88" s="18"/>
      <c r="H88" s="23">
        <f t="shared" si="27"/>
        <v>992</v>
      </c>
      <c r="I88" s="49"/>
      <c r="J88" s="49"/>
      <c r="K88" s="49"/>
      <c r="L88" s="49"/>
      <c r="M88" s="49"/>
      <c r="Q88" s="25">
        <v>480</v>
      </c>
      <c r="S88" s="25">
        <v>512</v>
      </c>
    </row>
    <row r="89" spans="1:13" s="25" customFormat="1" ht="12.75">
      <c r="A89" s="22"/>
      <c r="B89" s="22"/>
      <c r="C89" s="22"/>
      <c r="D89" s="22"/>
      <c r="E89" s="22" t="s">
        <v>86</v>
      </c>
      <c r="F89" s="18"/>
      <c r="G89" s="18"/>
      <c r="H89" s="23">
        <f t="shared" si="27"/>
        <v>0</v>
      </c>
      <c r="I89" s="49"/>
      <c r="J89" s="49"/>
      <c r="K89" s="49"/>
      <c r="L89" s="49"/>
      <c r="M89" s="49"/>
    </row>
    <row r="90" spans="1:13" s="25" customFormat="1" ht="12.75">
      <c r="A90" s="22"/>
      <c r="B90" s="22"/>
      <c r="C90" s="22"/>
      <c r="D90" s="22"/>
      <c r="E90" s="26" t="s">
        <v>107</v>
      </c>
      <c r="F90" s="18"/>
      <c r="G90" s="18"/>
      <c r="H90" s="23">
        <f t="shared" si="27"/>
        <v>0</v>
      </c>
      <c r="I90" s="49"/>
      <c r="J90" s="49"/>
      <c r="K90" s="49"/>
      <c r="L90" s="49"/>
      <c r="M90" s="49"/>
    </row>
    <row r="91" spans="1:16" s="25" customFormat="1" ht="12.75">
      <c r="A91" s="22"/>
      <c r="B91" s="22"/>
      <c r="C91" s="22"/>
      <c r="D91" s="22"/>
      <c r="E91" s="26" t="s">
        <v>87</v>
      </c>
      <c r="F91" s="18"/>
      <c r="G91" s="18"/>
      <c r="H91" s="23">
        <f t="shared" si="27"/>
        <v>575</v>
      </c>
      <c r="I91" s="49"/>
      <c r="J91" s="49"/>
      <c r="K91" s="49"/>
      <c r="L91" s="49"/>
      <c r="M91" s="49"/>
      <c r="O91" s="25">
        <v>404</v>
      </c>
      <c r="P91" s="25">
        <v>171</v>
      </c>
    </row>
    <row r="92" spans="1:13" s="25" customFormat="1" ht="12.75">
      <c r="A92" s="22"/>
      <c r="B92" s="22"/>
      <c r="C92" s="22"/>
      <c r="D92" s="22"/>
      <c r="E92" s="26" t="s">
        <v>88</v>
      </c>
      <c r="F92" s="18"/>
      <c r="G92" s="18"/>
      <c r="H92" s="23">
        <f t="shared" si="27"/>
        <v>0</v>
      </c>
      <c r="I92" s="49"/>
      <c r="J92" s="49"/>
      <c r="K92" s="49"/>
      <c r="L92" s="49"/>
      <c r="M92" s="49"/>
    </row>
    <row r="93" ht="12.75">
      <c r="I93" s="44"/>
    </row>
    <row r="94" ht="12.75">
      <c r="I94" s="44"/>
    </row>
    <row r="95" ht="12.75">
      <c r="I95" s="44"/>
    </row>
    <row r="96" ht="12.75">
      <c r="I96" s="44"/>
    </row>
    <row r="97" ht="12.75">
      <c r="I97" s="44"/>
    </row>
    <row r="98" ht="12.75">
      <c r="I98" s="44"/>
    </row>
    <row r="99" ht="12.75">
      <c r="I99" s="44"/>
    </row>
    <row r="100" ht="12.75">
      <c r="I100" s="44"/>
    </row>
    <row r="101" ht="12.75"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3"/>
  <headerFooter alignWithMargins="0">
    <oddHeader>&amp;C&amp;F  &amp;D&amp;RMuud teenused tellijatele  &amp;A</oddHeader>
    <oddFooter>&amp;C&amp;F   &amp;D&amp;RMuud teenused  tegevusala kood  &amp;A</oddFooter>
  </headerFooter>
  <rowBreaks count="1" manualBreakCount="1">
    <brk id="6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PageLayoutView="0" workbookViewId="0" topLeftCell="A2">
      <selection activeCell="E29" sqref="E29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6" width="13.421875" style="21" customWidth="1"/>
    <col min="7" max="7" width="12.8515625" style="51" bestFit="1" customWidth="1"/>
    <col min="8" max="8" width="12.28125" style="44" bestFit="1" customWidth="1"/>
    <col min="9" max="9" width="12.7109375" style="44" bestFit="1" customWidth="1"/>
    <col min="10" max="11" width="12.28125" style="44" bestFit="1" customWidth="1"/>
    <col min="12" max="22" width="10.7109375" style="0" bestFit="1" customWidth="1"/>
  </cols>
  <sheetData>
    <row r="1" spans="1:22" s="36" customFormat="1" ht="12.75" hidden="1">
      <c r="A1" s="34"/>
      <c r="B1" s="34"/>
      <c r="C1" s="34"/>
      <c r="D1" s="34"/>
      <c r="E1" s="34"/>
      <c r="F1" s="35"/>
      <c r="G1" s="50">
        <v>2010</v>
      </c>
      <c r="H1" s="39">
        <v>2010</v>
      </c>
      <c r="I1" s="39">
        <v>2010</v>
      </c>
      <c r="J1" s="39">
        <v>2010</v>
      </c>
      <c r="K1" s="39">
        <v>2010</v>
      </c>
      <c r="L1" s="36">
        <v>2010</v>
      </c>
      <c r="M1" s="36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  <c r="U1" s="36">
        <v>2010</v>
      </c>
      <c r="V1" s="36">
        <v>2010</v>
      </c>
    </row>
    <row r="2" spans="1:22" s="67" customFormat="1" ht="51">
      <c r="A2" s="63"/>
      <c r="B2" s="63"/>
      <c r="C2" s="63"/>
      <c r="D2" s="63"/>
      <c r="E2" s="64"/>
      <c r="F2" s="65" t="s">
        <v>265</v>
      </c>
      <c r="G2" s="66" t="s">
        <v>178</v>
      </c>
      <c r="H2" s="66" t="s">
        <v>179</v>
      </c>
      <c r="I2" s="66" t="s">
        <v>180</v>
      </c>
      <c r="J2" s="66" t="s">
        <v>181</v>
      </c>
      <c r="K2" s="66" t="s">
        <v>182</v>
      </c>
      <c r="L2" s="63" t="s">
        <v>183</v>
      </c>
      <c r="M2" s="63" t="s">
        <v>184</v>
      </c>
      <c r="N2" s="63" t="s">
        <v>185</v>
      </c>
      <c r="O2" s="63" t="s">
        <v>186</v>
      </c>
      <c r="P2" s="63" t="s">
        <v>187</v>
      </c>
      <c r="Q2" s="63" t="s">
        <v>188</v>
      </c>
      <c r="R2" s="63" t="s">
        <v>189</v>
      </c>
      <c r="S2" s="63" t="s">
        <v>190</v>
      </c>
      <c r="T2" s="63" t="s">
        <v>191</v>
      </c>
      <c r="U2" s="63" t="s">
        <v>192</v>
      </c>
      <c r="V2" s="63" t="s">
        <v>193</v>
      </c>
    </row>
    <row r="3" spans="1:22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7">
        <f>SUM(G3:V3)</f>
        <v>10864860.4884</v>
      </c>
      <c r="G3" s="40">
        <f>adm066051!H3</f>
        <v>13327.03</v>
      </c>
      <c r="H3" s="40">
        <f>'gaas 04320'!H3</f>
        <v>4479.15</v>
      </c>
      <c r="I3" s="40">
        <f>'Küte 043601'!H3</f>
        <v>3440545.6183999996</v>
      </c>
      <c r="J3" s="40">
        <f>'küte 043602'!H3</f>
        <v>2540530.5600000005</v>
      </c>
      <c r="K3" s="40">
        <f>'HV 052001'!H3</f>
        <v>2903387.1199999996</v>
      </c>
      <c r="L3" s="4">
        <f>'HV 052003'!H3</f>
        <v>405983.58999999997</v>
      </c>
      <c r="M3" s="4">
        <f>'HV 052004'!H3</f>
        <v>33308.3</v>
      </c>
      <c r="N3" s="4">
        <f>'JV 063001'!H3</f>
        <v>551162.74</v>
      </c>
      <c r="O3" s="4">
        <f>'JV 063003'!H3</f>
        <v>2700</v>
      </c>
      <c r="P3" s="4">
        <f>'JV 063004'!H3</f>
        <v>35338.88</v>
      </c>
      <c r="Q3" s="4">
        <f>'JV 063005'!H3</f>
        <v>163165.00999999998</v>
      </c>
      <c r="R3" s="4">
        <f>'JV 063006'!H3</f>
        <v>13557.25</v>
      </c>
      <c r="S3" s="4">
        <f>'JV 063007'!H3</f>
        <v>163476.41999999998</v>
      </c>
      <c r="T3" s="4">
        <f>'El 064001'!H3</f>
        <v>2019.9399999999996</v>
      </c>
      <c r="U3" s="4">
        <f>'EH 066011'!H3</f>
        <v>518959.02</v>
      </c>
      <c r="V3" s="4">
        <f>MT066013!H3</f>
        <v>72919.86</v>
      </c>
    </row>
    <row r="4" spans="1:22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7">
        <f aca="true" t="shared" si="0" ref="F4:F59">SUM(G4:V4)</f>
        <v>8846098.608399998</v>
      </c>
      <c r="G4" s="40">
        <f>adm066051!H4</f>
        <v>0</v>
      </c>
      <c r="H4" s="40">
        <f>'gaas 04320'!H4</f>
        <v>4479.15</v>
      </c>
      <c r="I4" s="40">
        <f>'Küte 043601'!H4</f>
        <v>2938389.2084</v>
      </c>
      <c r="J4" s="40">
        <f>'küte 043602'!H4</f>
        <v>2320530.5999999996</v>
      </c>
      <c r="K4" s="40">
        <f>'HV 052001'!H4</f>
        <v>2250395.12</v>
      </c>
      <c r="L4" s="4">
        <f>'HV 052003'!H4</f>
        <v>308027.5900000001</v>
      </c>
      <c r="M4" s="4">
        <f>'HV 052004'!H4</f>
        <v>33308.3</v>
      </c>
      <c r="N4" s="4">
        <f>'JV 063001'!H4</f>
        <v>551162.74</v>
      </c>
      <c r="O4" s="4">
        <f>'JV 063003'!H4</f>
        <v>0</v>
      </c>
      <c r="P4" s="4">
        <f>'JV 063004'!H4</f>
        <v>33405.88</v>
      </c>
      <c r="Q4" s="4">
        <f>'JV 063005'!H4</f>
        <v>163165.00999999998</v>
      </c>
      <c r="R4" s="4">
        <f>'JV 063006'!H4</f>
        <v>13557.25</v>
      </c>
      <c r="S4" s="4">
        <f>'JV 063007'!H4</f>
        <v>45108.42</v>
      </c>
      <c r="T4" s="4">
        <f>'El 064001'!H4</f>
        <v>2019.9399999999996</v>
      </c>
      <c r="U4" s="4">
        <f>'EH 066011'!H4</f>
        <v>109629.54000000001</v>
      </c>
      <c r="V4" s="4">
        <f>MT066013!H4</f>
        <v>72919.86</v>
      </c>
    </row>
    <row r="5" spans="1:22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7">
        <f t="shared" si="0"/>
        <v>8846098.608399998</v>
      </c>
      <c r="G5" s="40">
        <f>adm066051!H5</f>
        <v>0</v>
      </c>
      <c r="H5" s="40">
        <f>'gaas 04320'!H5</f>
        <v>4479.15</v>
      </c>
      <c r="I5" s="40">
        <f>'Küte 043601'!H5</f>
        <v>2938389.2084</v>
      </c>
      <c r="J5" s="40">
        <f>'küte 043602'!H5</f>
        <v>2320530.5999999996</v>
      </c>
      <c r="K5" s="40">
        <f>'HV 052001'!H5</f>
        <v>2250395.12</v>
      </c>
      <c r="L5" s="4">
        <f>'HV 052003'!H5</f>
        <v>308027.5900000001</v>
      </c>
      <c r="M5" s="4">
        <f>'HV 052004'!H5</f>
        <v>33308.3</v>
      </c>
      <c r="N5" s="4">
        <f>'JV 063001'!H5</f>
        <v>551162.74</v>
      </c>
      <c r="O5" s="4">
        <f>'JV 063003'!H5</f>
        <v>0</v>
      </c>
      <c r="P5" s="4">
        <f>'JV 063004'!H5</f>
        <v>33405.88</v>
      </c>
      <c r="Q5" s="4">
        <f>'JV 063005'!H5</f>
        <v>163165.00999999998</v>
      </c>
      <c r="R5" s="4">
        <f>'JV 063006'!H5</f>
        <v>13557.25</v>
      </c>
      <c r="S5" s="4">
        <f>'JV 063007'!H5</f>
        <v>45108.42</v>
      </c>
      <c r="T5" s="4">
        <f>'El 064001'!H5</f>
        <v>2019.9399999999996</v>
      </c>
      <c r="U5" s="4">
        <f>'EH 066011'!H5</f>
        <v>109629.54000000001</v>
      </c>
      <c r="V5" s="4">
        <f>MT066013!H5</f>
        <v>72919.86</v>
      </c>
    </row>
    <row r="6" spans="1:22" s="11" customFormat="1" ht="11.25">
      <c r="A6" s="8"/>
      <c r="B6" s="8"/>
      <c r="C6" s="8"/>
      <c r="D6" s="8"/>
      <c r="E6" s="8" t="s">
        <v>195</v>
      </c>
      <c r="F6" s="10">
        <f t="shared" si="0"/>
        <v>217286.24300000002</v>
      </c>
      <c r="G6" s="41">
        <f>adm066051!H6</f>
        <v>0</v>
      </c>
      <c r="H6" s="41">
        <f>'gaas 04320'!H6</f>
        <v>155</v>
      </c>
      <c r="I6" s="41">
        <f>'Küte 043601'!H6</f>
        <v>2953.63</v>
      </c>
      <c r="J6" s="41">
        <f>'küte 043602'!H6</f>
        <v>2730.093</v>
      </c>
      <c r="K6" s="41">
        <f>'HV 052001'!H6</f>
        <v>121682</v>
      </c>
      <c r="L6" s="9">
        <f>'HV 052003'!H6</f>
        <v>15588.32</v>
      </c>
      <c r="M6" s="9">
        <f>'HV 052004'!H6</f>
        <v>1724</v>
      </c>
      <c r="N6" s="9">
        <f>'JV 063001'!H6</f>
        <v>51226</v>
      </c>
      <c r="O6" s="9">
        <f>'JV 063003'!H6</f>
        <v>0</v>
      </c>
      <c r="P6" s="9">
        <f>'JV 063004'!H6</f>
        <v>1485</v>
      </c>
      <c r="Q6" s="9">
        <f>'JV 063005'!H6</f>
        <v>16118.2</v>
      </c>
      <c r="R6" s="9">
        <f>'JV 063006'!H6</f>
        <v>1366</v>
      </c>
      <c r="S6" s="9">
        <f>'JV 063007'!H6</f>
        <v>1178</v>
      </c>
      <c r="T6" s="9">
        <f>'El 064001'!H6</f>
        <v>1080</v>
      </c>
      <c r="U6" s="9">
        <f>'EH 066011'!H6</f>
        <v>0</v>
      </c>
      <c r="V6" s="9">
        <f>MT066013!H6</f>
        <v>0</v>
      </c>
    </row>
    <row r="7" spans="1:22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0">
        <f t="shared" si="0"/>
        <v>8840996.908399997</v>
      </c>
      <c r="G7" s="38">
        <f>adm066051!H7</f>
        <v>0</v>
      </c>
      <c r="H7" s="38">
        <f>'gaas 04320'!H7</f>
        <v>4479.15</v>
      </c>
      <c r="I7" s="38">
        <f>'Küte 043601'!H7</f>
        <v>2938389.2084</v>
      </c>
      <c r="J7" s="38">
        <f>'küte 043602'!H7</f>
        <v>2320530.5999999996</v>
      </c>
      <c r="K7" s="38">
        <f>'HV 052001'!H7</f>
        <v>2245293.42</v>
      </c>
      <c r="L7" s="13">
        <f>'HV 052003'!H7</f>
        <v>308027.5900000001</v>
      </c>
      <c r="M7" s="13">
        <f>'HV 052004'!H7</f>
        <v>33308.3</v>
      </c>
      <c r="N7" s="13">
        <f>'JV 063001'!H7</f>
        <v>551162.74</v>
      </c>
      <c r="O7" s="13">
        <f>'JV 063003'!H7</f>
        <v>0</v>
      </c>
      <c r="P7" s="13">
        <f>'JV 063004'!H7</f>
        <v>33405.88</v>
      </c>
      <c r="Q7" s="13">
        <f>'JV 063005'!H7</f>
        <v>163165.00999999998</v>
      </c>
      <c r="R7" s="13">
        <f>'JV 063006'!H7</f>
        <v>13557.25</v>
      </c>
      <c r="S7" s="13">
        <f>'JV 063007'!H7</f>
        <v>45108.42</v>
      </c>
      <c r="T7" s="13">
        <f>'El 064001'!H7</f>
        <v>2019.9399999999996</v>
      </c>
      <c r="U7" s="13">
        <f>'EH 066011'!H7</f>
        <v>109629.54000000001</v>
      </c>
      <c r="V7" s="13">
        <f>MT066013!H7</f>
        <v>72919.86</v>
      </c>
    </row>
    <row r="8" spans="1:22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7">
        <f t="shared" si="0"/>
        <v>1505788.96</v>
      </c>
      <c r="G8" s="40">
        <f>adm066051!H8</f>
        <v>0</v>
      </c>
      <c r="H8" s="40">
        <f>'gaas 04320'!H8</f>
        <v>0</v>
      </c>
      <c r="I8" s="40">
        <f>'Küte 043601'!H8</f>
        <v>411840</v>
      </c>
      <c r="J8" s="40">
        <f>'küte 043602'!H8</f>
        <v>219999.96000000008</v>
      </c>
      <c r="K8" s="40">
        <f>'HV 052001'!H8</f>
        <v>652992</v>
      </c>
      <c r="L8" s="4">
        <f>'HV 052003'!H8</f>
        <v>97956</v>
      </c>
      <c r="M8" s="4">
        <f>'HV 052004'!H8</f>
        <v>0</v>
      </c>
      <c r="N8" s="4">
        <f>'JV 063001'!H8</f>
        <v>0</v>
      </c>
      <c r="O8" s="4">
        <f>'JV 063003'!H8</f>
        <v>2700</v>
      </c>
      <c r="P8" s="4">
        <f>'JV 063004'!H8</f>
        <v>1933</v>
      </c>
      <c r="Q8" s="4">
        <f>'JV 063005'!H8</f>
        <v>0</v>
      </c>
      <c r="R8" s="4">
        <f>'JV 063006'!H8</f>
        <v>0</v>
      </c>
      <c r="S8" s="4">
        <f>'JV 063007'!H8</f>
        <v>118368</v>
      </c>
      <c r="T8" s="4">
        <f>'El 064001'!H8</f>
        <v>0</v>
      </c>
      <c r="U8" s="4">
        <f>'EH 066011'!H8</f>
        <v>0</v>
      </c>
      <c r="V8" s="4">
        <f>MT066013!H8</f>
        <v>0</v>
      </c>
    </row>
    <row r="9" spans="1:22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7">
        <f t="shared" si="0"/>
        <v>2700</v>
      </c>
      <c r="G9" s="40">
        <f>adm066051!H9</f>
        <v>0</v>
      </c>
      <c r="H9" s="40">
        <f>'gaas 04320'!H9</f>
        <v>0</v>
      </c>
      <c r="I9" s="40">
        <f>'Küte 043601'!H9</f>
        <v>0</v>
      </c>
      <c r="J9" s="40">
        <f>'küte 043602'!H9</f>
        <v>0</v>
      </c>
      <c r="K9" s="40">
        <f>'HV 052001'!H9</f>
        <v>0</v>
      </c>
      <c r="L9" s="4">
        <f>'HV 052003'!H9</f>
        <v>0</v>
      </c>
      <c r="M9" s="4">
        <f>'HV 052004'!H9</f>
        <v>0</v>
      </c>
      <c r="N9" s="4">
        <f>'JV 063001'!H9</f>
        <v>0</v>
      </c>
      <c r="O9" s="4">
        <f>'JV 063003'!H9</f>
        <v>2700</v>
      </c>
      <c r="P9" s="4">
        <f>'JV 063004'!H9</f>
        <v>0</v>
      </c>
      <c r="Q9" s="4">
        <f>'JV 063005'!H9</f>
        <v>0</v>
      </c>
      <c r="R9" s="4">
        <f>'JV 063006'!H9</f>
        <v>0</v>
      </c>
      <c r="S9" s="4">
        <f>'JV 063007'!H9</f>
        <v>0</v>
      </c>
      <c r="T9" s="4">
        <f>'El 064001'!H9</f>
        <v>0</v>
      </c>
      <c r="U9" s="4">
        <f>'EH 066011'!H9</f>
        <v>0</v>
      </c>
      <c r="V9" s="4">
        <f>MT066013!H9</f>
        <v>0</v>
      </c>
    </row>
    <row r="10" spans="1:22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0">
        <f t="shared" si="0"/>
        <v>2700</v>
      </c>
      <c r="G10" s="38">
        <f>adm066051!H10</f>
        <v>0</v>
      </c>
      <c r="H10" s="38">
        <f>'gaas 04320'!H10</f>
        <v>0</v>
      </c>
      <c r="I10" s="38">
        <f>'Küte 043601'!H10</f>
        <v>0</v>
      </c>
      <c r="J10" s="38">
        <f>'küte 043602'!H10</f>
        <v>0</v>
      </c>
      <c r="K10" s="38">
        <f>'HV 052001'!H10</f>
        <v>0</v>
      </c>
      <c r="L10" s="13">
        <f>'HV 052003'!H10</f>
        <v>0</v>
      </c>
      <c r="M10" s="13">
        <f>'HV 052004'!H10</f>
        <v>0</v>
      </c>
      <c r="N10" s="13">
        <f>'JV 063001'!H10</f>
        <v>0</v>
      </c>
      <c r="O10" s="13">
        <f>'JV 063003'!H10</f>
        <v>2700</v>
      </c>
      <c r="P10" s="13">
        <f>'JV 063004'!H10</f>
        <v>0</v>
      </c>
      <c r="Q10" s="13">
        <f>'JV 063005'!H10</f>
        <v>0</v>
      </c>
      <c r="R10" s="13">
        <f>'JV 063006'!H10</f>
        <v>0</v>
      </c>
      <c r="S10" s="13">
        <f>'JV 063007'!H10</f>
        <v>0</v>
      </c>
      <c r="T10" s="13">
        <f>'El 064001'!H10</f>
        <v>0</v>
      </c>
      <c r="U10" s="13">
        <f>'EH 066011'!H10</f>
        <v>0</v>
      </c>
      <c r="V10" s="13">
        <f>MT066013!H10</f>
        <v>0</v>
      </c>
    </row>
    <row r="11" spans="1:22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7">
        <f t="shared" si="0"/>
        <v>1503088.96</v>
      </c>
      <c r="G11" s="40">
        <f>adm066051!H11</f>
        <v>0</v>
      </c>
      <c r="H11" s="40">
        <f>'gaas 04320'!H11</f>
        <v>0</v>
      </c>
      <c r="I11" s="40">
        <f>'Küte 043601'!H11</f>
        <v>411840</v>
      </c>
      <c r="J11" s="40">
        <f>'küte 043602'!H11</f>
        <v>219999.96000000008</v>
      </c>
      <c r="K11" s="40">
        <f>'HV 052001'!H11</f>
        <v>652992</v>
      </c>
      <c r="L11" s="4">
        <f>'HV 052003'!H11</f>
        <v>97956</v>
      </c>
      <c r="M11" s="4">
        <f>'HV 052004'!H11</f>
        <v>0</v>
      </c>
      <c r="N11" s="4">
        <f>'JV 063001'!H11</f>
        <v>0</v>
      </c>
      <c r="O11" s="4">
        <f>'JV 063003'!H11</f>
        <v>0</v>
      </c>
      <c r="P11" s="4">
        <f>'JV 063004'!H11</f>
        <v>1933</v>
      </c>
      <c r="Q11" s="4">
        <f>'JV 063005'!H11</f>
        <v>0</v>
      </c>
      <c r="R11" s="4">
        <f>'JV 063006'!H11</f>
        <v>0</v>
      </c>
      <c r="S11" s="4">
        <f>'JV 063007'!H11</f>
        <v>118368</v>
      </c>
      <c r="T11" s="4">
        <f>'El 064001'!H11</f>
        <v>0</v>
      </c>
      <c r="U11" s="4">
        <f>'EH 066011'!H11</f>
        <v>0</v>
      </c>
      <c r="V11" s="4">
        <f>MT066013!H11</f>
        <v>0</v>
      </c>
    </row>
    <row r="12" spans="1:22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7">
        <f t="shared" si="0"/>
        <v>512972.92</v>
      </c>
      <c r="G12" s="40">
        <f>adm066051!H12</f>
        <v>13327.03</v>
      </c>
      <c r="H12" s="40">
        <f>'gaas 04320'!H12</f>
        <v>0</v>
      </c>
      <c r="I12" s="40">
        <f>'Küte 043601'!H12</f>
        <v>90316.41</v>
      </c>
      <c r="J12" s="40">
        <f>'küte 043602'!H12</f>
        <v>0</v>
      </c>
      <c r="K12" s="40">
        <f>'HV 052001'!H12</f>
        <v>0</v>
      </c>
      <c r="L12" s="4">
        <f>'HV 052003'!H12</f>
        <v>0</v>
      </c>
      <c r="M12" s="4">
        <f>'HV 052004'!H12</f>
        <v>0</v>
      </c>
      <c r="N12" s="4">
        <f>'JV 063001'!H12</f>
        <v>0</v>
      </c>
      <c r="O12" s="4">
        <f>'JV 063003'!H12</f>
        <v>0</v>
      </c>
      <c r="P12" s="4">
        <f>'JV 063004'!H12</f>
        <v>0</v>
      </c>
      <c r="Q12" s="4">
        <f>'JV 063005'!H12</f>
        <v>0</v>
      </c>
      <c r="R12" s="4">
        <f>'JV 063006'!H12</f>
        <v>0</v>
      </c>
      <c r="S12" s="4">
        <f>'JV 063007'!H12</f>
        <v>0</v>
      </c>
      <c r="T12" s="4">
        <f>'El 064001'!H12</f>
        <v>0</v>
      </c>
      <c r="U12" s="4">
        <f>'EH 066011'!H12</f>
        <v>409329.48</v>
      </c>
      <c r="V12" s="4">
        <f>MT066013!H12</f>
        <v>0</v>
      </c>
    </row>
    <row r="13" spans="1:22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7">
        <f t="shared" si="0"/>
        <v>422656.51</v>
      </c>
      <c r="G13" s="40">
        <f>adm066051!H13</f>
        <v>13327.03</v>
      </c>
      <c r="H13" s="40">
        <f>'gaas 04320'!H13</f>
        <v>0</v>
      </c>
      <c r="I13" s="40">
        <f>'Küte 043601'!H13</f>
        <v>0</v>
      </c>
      <c r="J13" s="40">
        <f>'küte 043602'!H13</f>
        <v>0</v>
      </c>
      <c r="K13" s="40">
        <f>'HV 052001'!H13</f>
        <v>0</v>
      </c>
      <c r="L13" s="4">
        <f>'HV 052003'!H13</f>
        <v>0</v>
      </c>
      <c r="M13" s="4">
        <f>'HV 052004'!H13</f>
        <v>0</v>
      </c>
      <c r="N13" s="4">
        <f>'JV 063001'!H13</f>
        <v>0</v>
      </c>
      <c r="O13" s="4">
        <f>'JV 063003'!H13</f>
        <v>0</v>
      </c>
      <c r="P13" s="4">
        <f>'JV 063004'!H13</f>
        <v>0</v>
      </c>
      <c r="Q13" s="4">
        <f>'JV 063005'!H13</f>
        <v>0</v>
      </c>
      <c r="R13" s="4">
        <f>'JV 063006'!H13</f>
        <v>0</v>
      </c>
      <c r="S13" s="4">
        <f>'JV 063007'!H13</f>
        <v>0</v>
      </c>
      <c r="T13" s="4">
        <f>'El 064001'!H13</f>
        <v>0</v>
      </c>
      <c r="U13" s="4">
        <f>'EH 066011'!H13</f>
        <v>409329.48</v>
      </c>
      <c r="V13" s="4">
        <f>MT066013!H13</f>
        <v>0</v>
      </c>
    </row>
    <row r="14" spans="1:22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0">
        <f t="shared" si="0"/>
        <v>422656.51</v>
      </c>
      <c r="G14" s="38">
        <f>adm066051!H14</f>
        <v>13327.03</v>
      </c>
      <c r="H14" s="38">
        <f>'gaas 04320'!H14</f>
        <v>0</v>
      </c>
      <c r="I14" s="38">
        <f>'Küte 043601'!H14</f>
        <v>0</v>
      </c>
      <c r="J14" s="38">
        <f>'küte 043602'!H14</f>
        <v>0</v>
      </c>
      <c r="K14" s="38">
        <f>'HV 052001'!H14</f>
        <v>0</v>
      </c>
      <c r="L14" s="13">
        <f>'HV 052003'!H14</f>
        <v>0</v>
      </c>
      <c r="M14" s="13">
        <f>'HV 052004'!H14</f>
        <v>0</v>
      </c>
      <c r="N14" s="13">
        <f>'JV 063001'!H14</f>
        <v>0</v>
      </c>
      <c r="O14" s="13">
        <f>'JV 063003'!H14</f>
        <v>0</v>
      </c>
      <c r="P14" s="13">
        <f>'JV 063004'!H14</f>
        <v>0</v>
      </c>
      <c r="Q14" s="13">
        <f>'JV 063005'!H14</f>
        <v>0</v>
      </c>
      <c r="R14" s="13">
        <f>'JV 063006'!H14</f>
        <v>0</v>
      </c>
      <c r="S14" s="13">
        <f>'JV 063007'!H14</f>
        <v>0</v>
      </c>
      <c r="T14" s="13">
        <f>'El 064001'!H14</f>
        <v>0</v>
      </c>
      <c r="U14" s="13">
        <f>'EH 066011'!H14</f>
        <v>409329.48</v>
      </c>
      <c r="V14" s="13">
        <f>MT066013!H14</f>
        <v>0</v>
      </c>
    </row>
    <row r="15" spans="1:22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7">
        <f t="shared" si="0"/>
        <v>-500</v>
      </c>
      <c r="G15" s="40">
        <f>adm066051!H15</f>
        <v>-500</v>
      </c>
      <c r="H15" s="40">
        <f>'gaas 04320'!H15</f>
        <v>0</v>
      </c>
      <c r="I15" s="40">
        <f>'Küte 043601'!H17</f>
        <v>0</v>
      </c>
      <c r="J15" s="40">
        <f>'küte 043602'!H15</f>
        <v>0</v>
      </c>
      <c r="K15" s="40">
        <f>'HV 052001'!H15</f>
        <v>0</v>
      </c>
      <c r="L15" s="4">
        <f>'HV 052003'!H15</f>
        <v>0</v>
      </c>
      <c r="M15" s="4">
        <f>'HV 052004'!H15</f>
        <v>0</v>
      </c>
      <c r="N15" s="4">
        <f>'JV 063001'!H15</f>
        <v>0</v>
      </c>
      <c r="O15" s="4">
        <f>'JV 063003'!H15</f>
        <v>0</v>
      </c>
      <c r="P15" s="4">
        <f>'JV 063004'!H15</f>
        <v>0</v>
      </c>
      <c r="Q15" s="4">
        <f>'JV 063005'!H15</f>
        <v>0</v>
      </c>
      <c r="R15" s="4">
        <f>'JV 063006'!H15</f>
        <v>0</v>
      </c>
      <c r="S15" s="4">
        <f>'JV 063007'!H15</f>
        <v>0</v>
      </c>
      <c r="T15" s="4">
        <f>'El 064001'!H15</f>
        <v>0</v>
      </c>
      <c r="U15" s="4">
        <f>'EH 066011'!H15</f>
        <v>0</v>
      </c>
      <c r="V15" s="4">
        <f>MT066013!H15</f>
        <v>0</v>
      </c>
    </row>
    <row r="16" spans="1:22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7">
        <f t="shared" si="0"/>
        <v>-500</v>
      </c>
      <c r="G16" s="40">
        <f>adm066051!H16</f>
        <v>-500</v>
      </c>
      <c r="H16" s="40">
        <f>'gaas 04320'!H16</f>
        <v>0</v>
      </c>
      <c r="I16" s="40">
        <f>'Küte 043601'!H18</f>
        <v>0</v>
      </c>
      <c r="J16" s="40">
        <f>'küte 043602'!H16</f>
        <v>0</v>
      </c>
      <c r="K16" s="40">
        <f>'HV 052001'!H16</f>
        <v>0</v>
      </c>
      <c r="L16" s="4">
        <f>'HV 052003'!H16</f>
        <v>0</v>
      </c>
      <c r="M16" s="4">
        <f>'HV 052004'!H16</f>
        <v>0</v>
      </c>
      <c r="N16" s="4">
        <f>'JV 063001'!H16</f>
        <v>0</v>
      </c>
      <c r="O16" s="4">
        <f>'JV 063003'!H16</f>
        <v>0</v>
      </c>
      <c r="P16" s="4">
        <f>'JV 063004'!H16</f>
        <v>0</v>
      </c>
      <c r="Q16" s="4">
        <f>'JV 063005'!H16</f>
        <v>0</v>
      </c>
      <c r="R16" s="4">
        <f>'JV 063006'!H16</f>
        <v>0</v>
      </c>
      <c r="S16" s="4">
        <f>'JV 063007'!H16</f>
        <v>0</v>
      </c>
      <c r="T16" s="4">
        <f>'El 064001'!H16</f>
        <v>0</v>
      </c>
      <c r="U16" s="4">
        <f>'EH 066011'!H16</f>
        <v>0</v>
      </c>
      <c r="V16" s="4">
        <f>MT066013!H16</f>
        <v>0</v>
      </c>
    </row>
    <row r="17" spans="1:22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7">
        <f t="shared" si="0"/>
        <v>-500</v>
      </c>
      <c r="G17" s="40">
        <f>adm066051!H17</f>
        <v>-500</v>
      </c>
      <c r="H17" s="40">
        <f>'gaas 04320'!H17</f>
        <v>0</v>
      </c>
      <c r="I17" s="40">
        <f>'Küte 043601'!H19</f>
        <v>0</v>
      </c>
      <c r="J17" s="40">
        <f>'küte 043602'!H17</f>
        <v>0</v>
      </c>
      <c r="K17" s="40">
        <f>'HV 052001'!H17</f>
        <v>0</v>
      </c>
      <c r="L17" s="4">
        <f>'HV 052003'!H17</f>
        <v>0</v>
      </c>
      <c r="M17" s="4">
        <f>'HV 052004'!H17</f>
        <v>0</v>
      </c>
      <c r="N17" s="4">
        <f>'JV 063001'!H17</f>
        <v>0</v>
      </c>
      <c r="O17" s="4">
        <f>'JV 063003'!H17</f>
        <v>0</v>
      </c>
      <c r="P17" s="4">
        <f>'JV 063004'!H17</f>
        <v>0</v>
      </c>
      <c r="Q17" s="4">
        <f>'JV 063005'!H17</f>
        <v>0</v>
      </c>
      <c r="R17" s="4">
        <f>'JV 063006'!H17</f>
        <v>0</v>
      </c>
      <c r="S17" s="4">
        <f>'JV 063007'!H17</f>
        <v>0</v>
      </c>
      <c r="T17" s="4">
        <f>'El 064001'!H17</f>
        <v>0</v>
      </c>
      <c r="U17" s="4">
        <f>'EH 066011'!H17</f>
        <v>0</v>
      </c>
      <c r="V17" s="4">
        <f>MT066013!H17</f>
        <v>0</v>
      </c>
    </row>
    <row r="18" spans="1:22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7">
        <f t="shared" si="0"/>
        <v>-7486536.706399999</v>
      </c>
      <c r="G18" s="40">
        <f>adm066051!H18</f>
        <v>-1410793.97</v>
      </c>
      <c r="H18" s="40">
        <f>'gaas 04320'!H18</f>
        <v>-4327.139999999999</v>
      </c>
      <c r="I18" s="40">
        <f>'Küte 043601'!H20</f>
        <v>-2236028.37</v>
      </c>
      <c r="J18" s="40">
        <f>'küte 043602'!H18</f>
        <v>-1901035.38</v>
      </c>
      <c r="K18" s="40">
        <f>'HV 052001'!H18</f>
        <v>-942862.4399999998</v>
      </c>
      <c r="L18" s="4">
        <f>'HV 052003'!H18</f>
        <v>-204213.50999999995</v>
      </c>
      <c r="M18" s="4">
        <f>'HV 052004'!H18</f>
        <v>-12164.89</v>
      </c>
      <c r="N18" s="4">
        <f>'JV 063001'!H18</f>
        <v>-471218.19</v>
      </c>
      <c r="O18" s="4">
        <f>'JV 063003'!H18</f>
        <v>0</v>
      </c>
      <c r="P18" s="4">
        <f>'JV 063004'!H18</f>
        <v>-16890.440000000002</v>
      </c>
      <c r="Q18" s="4">
        <f>'JV 063005'!H18</f>
        <v>-130051.9864</v>
      </c>
      <c r="R18" s="4">
        <f>'JV 063006'!H18</f>
        <v>-9987.789999999999</v>
      </c>
      <c r="S18" s="4">
        <f>'JV 063007'!H18</f>
        <v>-19339.320000000003</v>
      </c>
      <c r="T18" s="4">
        <f>'El 064001'!H18</f>
        <v>-1714.0599999999997</v>
      </c>
      <c r="U18" s="4">
        <f>'EH 066011'!H18</f>
        <v>-73073.56</v>
      </c>
      <c r="V18" s="4">
        <f>MT066013!H18</f>
        <v>-52835.66</v>
      </c>
    </row>
    <row r="19" spans="1:22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7">
        <f t="shared" si="0"/>
        <v>-2257624.7964000003</v>
      </c>
      <c r="G19" s="40">
        <f>adm066051!H19</f>
        <v>-1068459.6</v>
      </c>
      <c r="H19" s="40">
        <f>'gaas 04320'!H19</f>
        <v>0</v>
      </c>
      <c r="I19" s="40">
        <f>'Küte 043601'!H21</f>
        <v>-272234.62</v>
      </c>
      <c r="J19" s="40">
        <f>'küte 043602'!H19</f>
        <v>-244911.53</v>
      </c>
      <c r="K19" s="40">
        <f>'HV 052001'!H19</f>
        <v>-380235.25</v>
      </c>
      <c r="L19" s="4">
        <f>'HV 052003'!H19</f>
        <v>-67665.25</v>
      </c>
      <c r="M19" s="4">
        <f>'HV 052004'!H19</f>
        <v>-4940.7</v>
      </c>
      <c r="N19" s="4">
        <f>'JV 063001'!H19</f>
        <v>-114796.45</v>
      </c>
      <c r="O19" s="4">
        <f>'JV 063003'!H19</f>
        <v>0</v>
      </c>
      <c r="P19" s="4">
        <f>'JV 063004'!H19</f>
        <v>-5196.8</v>
      </c>
      <c r="Q19" s="4">
        <f>'JV 063005'!H19</f>
        <v>-51148.246399999996</v>
      </c>
      <c r="R19" s="4">
        <f>'JV 063006'!H19</f>
        <v>-4908.150000000001</v>
      </c>
      <c r="S19" s="4">
        <f>'JV 063007'!H19</f>
        <v>0</v>
      </c>
      <c r="T19" s="4">
        <f>'El 064001'!H19</f>
        <v>0</v>
      </c>
      <c r="U19" s="4">
        <f>'EH 066011'!H19</f>
        <v>-18630.45</v>
      </c>
      <c r="V19" s="4">
        <f>MT066013!H19</f>
        <v>-24497.75</v>
      </c>
    </row>
    <row r="20" spans="1:22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7">
        <f t="shared" si="0"/>
        <v>-1680832.7999999998</v>
      </c>
      <c r="G20" s="40">
        <f>adm066051!H20</f>
        <v>-795311.6</v>
      </c>
      <c r="H20" s="40">
        <f>'gaas 04320'!H20</f>
        <v>0</v>
      </c>
      <c r="I20" s="40">
        <f>'Küte 043601'!H22</f>
        <v>-202725.62</v>
      </c>
      <c r="J20" s="40">
        <f>'küte 043602'!H20</f>
        <v>-182389.53</v>
      </c>
      <c r="K20" s="40">
        <f>'HV 052001'!H20</f>
        <v>-283071.25</v>
      </c>
      <c r="L20" s="4">
        <f>'HV 052003'!H20</f>
        <v>-50421.25</v>
      </c>
      <c r="M20" s="4">
        <f>'HV 052004'!H20</f>
        <v>-3684.7000000000003</v>
      </c>
      <c r="N20" s="4">
        <f>'JV 063001'!H20</f>
        <v>-85496.45</v>
      </c>
      <c r="O20" s="4">
        <f>'JV 063003'!H20</f>
        <v>0</v>
      </c>
      <c r="P20" s="4">
        <f>'JV 063004'!H20</f>
        <v>-3870.8</v>
      </c>
      <c r="Q20" s="4">
        <f>'JV 063005'!H20</f>
        <v>-38097.24999999999</v>
      </c>
      <c r="R20" s="4">
        <f>'JV 063006'!H20</f>
        <v>-3658.15</v>
      </c>
      <c r="S20" s="4">
        <f>'JV 063007'!H20</f>
        <v>0</v>
      </c>
      <c r="T20" s="4">
        <f>'El 064001'!H20</f>
        <v>0</v>
      </c>
      <c r="U20" s="4">
        <f>'EH 066011'!H20</f>
        <v>-13865.449999999997</v>
      </c>
      <c r="V20" s="4">
        <f>MT066013!H20</f>
        <v>-18240.75</v>
      </c>
    </row>
    <row r="21" spans="1:22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0">
        <f t="shared" si="0"/>
        <v>-1648102.0999999996</v>
      </c>
      <c r="G21" s="38">
        <f>adm066051!H21</f>
        <v>-795311.6</v>
      </c>
      <c r="H21" s="38">
        <f>'gaas 04320'!H21</f>
        <v>0</v>
      </c>
      <c r="I21" s="38">
        <f>'Küte 043601'!H23</f>
        <v>-200636.35</v>
      </c>
      <c r="J21" s="38">
        <f>'küte 043602'!H21</f>
        <v>-160718.09999999998</v>
      </c>
      <c r="K21" s="38">
        <f>'HV 052001'!H21</f>
        <v>-276343.75</v>
      </c>
      <c r="L21" s="13">
        <f>'HV 052003'!H21</f>
        <v>-50421.25</v>
      </c>
      <c r="M21" s="13">
        <f>'HV 052004'!H21</f>
        <v>-3684.7000000000003</v>
      </c>
      <c r="N21" s="13">
        <f>'JV 063001'!H21</f>
        <v>-83253.95</v>
      </c>
      <c r="O21" s="13">
        <f>'JV 063003'!H21</f>
        <v>0</v>
      </c>
      <c r="P21" s="13">
        <f>'JV 063004'!H21</f>
        <v>-3870.8</v>
      </c>
      <c r="Q21" s="13">
        <f>'JV 063005'!H21</f>
        <v>-38097.24999999999</v>
      </c>
      <c r="R21" s="13">
        <f>'JV 063006'!H21</f>
        <v>-3658.15</v>
      </c>
      <c r="S21" s="13">
        <f>'JV 063007'!H21</f>
        <v>0</v>
      </c>
      <c r="T21" s="13">
        <f>'El 064001'!H21</f>
        <v>0</v>
      </c>
      <c r="U21" s="13">
        <f>'EH 066011'!H21</f>
        <v>-13865.449999999997</v>
      </c>
      <c r="V21" s="13">
        <f>MT066013!H21</f>
        <v>-18240.75</v>
      </c>
    </row>
    <row r="22" spans="1:22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0">
        <f t="shared" si="0"/>
        <v>-32730.7</v>
      </c>
      <c r="G22" s="38">
        <f>adm066051!H22</f>
        <v>0</v>
      </c>
      <c r="H22" s="38">
        <f>'gaas 04320'!H22</f>
        <v>0</v>
      </c>
      <c r="I22" s="38">
        <f>'Küte 043601'!H24</f>
        <v>-2089.27</v>
      </c>
      <c r="J22" s="38">
        <f>'küte 043602'!H22</f>
        <v>-21671.43</v>
      </c>
      <c r="K22" s="38">
        <f>'HV 052001'!H22</f>
        <v>-6727.5</v>
      </c>
      <c r="L22" s="13">
        <f>'HV 052003'!H22</f>
        <v>0</v>
      </c>
      <c r="M22" s="13">
        <f>'HV 052004'!H22</f>
        <v>0</v>
      </c>
      <c r="N22" s="13">
        <f>'JV 063001'!H22</f>
        <v>-2242.5</v>
      </c>
      <c r="O22" s="13">
        <f>'JV 063003'!H22</f>
        <v>0</v>
      </c>
      <c r="P22" s="13">
        <f>'JV 063004'!H22</f>
        <v>0</v>
      </c>
      <c r="Q22" s="13">
        <f>'JV 063005'!H22</f>
        <v>0</v>
      </c>
      <c r="R22" s="13">
        <f>'JV 063006'!H22</f>
        <v>0</v>
      </c>
      <c r="S22" s="13">
        <f>'JV 063007'!H22</f>
        <v>0</v>
      </c>
      <c r="T22" s="13">
        <f>'El 064001'!H22</f>
        <v>0</v>
      </c>
      <c r="U22" s="13">
        <f>'EH 066011'!H22</f>
        <v>0</v>
      </c>
      <c r="V22" s="13">
        <f>MT066013!H22</f>
        <v>0</v>
      </c>
    </row>
    <row r="23" spans="1:22" ht="12.75">
      <c r="A23" s="14">
        <v>5</v>
      </c>
      <c r="B23" s="14">
        <v>0</v>
      </c>
      <c r="C23" s="14">
        <v>5</v>
      </c>
      <c r="D23" s="14"/>
      <c r="E23" s="14" t="s">
        <v>31</v>
      </c>
      <c r="F23" s="7">
        <f t="shared" si="0"/>
        <v>-4252</v>
      </c>
      <c r="G23" s="42">
        <f>adm066051!H23</f>
        <v>-4252</v>
      </c>
      <c r="H23" s="42">
        <f>'gaas 04320'!H23</f>
        <v>0</v>
      </c>
      <c r="I23" s="42">
        <f>'Küte 043601'!H25</f>
        <v>0</v>
      </c>
      <c r="J23" s="42">
        <f>'küte 043602'!H23</f>
        <v>0</v>
      </c>
      <c r="K23" s="42">
        <f>'HV 052001'!H23</f>
        <v>0</v>
      </c>
      <c r="L23" s="15">
        <f>'HV 052003'!H23</f>
        <v>0</v>
      </c>
      <c r="M23" s="15">
        <f>'HV 052004'!H23</f>
        <v>0</v>
      </c>
      <c r="N23" s="15">
        <f>'JV 063001'!H23</f>
        <v>0</v>
      </c>
      <c r="O23" s="15">
        <f>'JV 063003'!H23</f>
        <v>0</v>
      </c>
      <c r="P23" s="15">
        <f>'JV 063004'!H23</f>
        <v>0</v>
      </c>
      <c r="Q23" s="15">
        <f>'JV 063005'!H23</f>
        <v>0</v>
      </c>
      <c r="R23" s="15">
        <f>'JV 063006'!H23</f>
        <v>0</v>
      </c>
      <c r="S23" s="15">
        <f>'JV 063007'!H23</f>
        <v>0</v>
      </c>
      <c r="T23" s="15">
        <f>'El 064001'!H23</f>
        <v>0</v>
      </c>
      <c r="U23" s="15">
        <f>'EH 066011'!H23</f>
        <v>0</v>
      </c>
      <c r="V23" s="15">
        <f>MT066013!H23</f>
        <v>0</v>
      </c>
    </row>
    <row r="24" spans="1:22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0">
        <f t="shared" si="0"/>
        <v>-3127</v>
      </c>
      <c r="G24" s="38">
        <f>adm066051!H24</f>
        <v>-3127</v>
      </c>
      <c r="H24" s="38">
        <f>'gaas 04320'!H24</f>
        <v>0</v>
      </c>
      <c r="I24" s="38">
        <f>'Küte 043601'!H26</f>
        <v>0</v>
      </c>
      <c r="J24" s="38">
        <f>'küte 043602'!H24</f>
        <v>0</v>
      </c>
      <c r="K24" s="38">
        <f>'HV 052001'!H24</f>
        <v>0</v>
      </c>
      <c r="L24" s="13">
        <f>'HV 052003'!H24</f>
        <v>0</v>
      </c>
      <c r="M24" s="13">
        <f>'HV 052004'!H24</f>
        <v>0</v>
      </c>
      <c r="N24" s="13">
        <f>'JV 063001'!H24</f>
        <v>0</v>
      </c>
      <c r="O24" s="13">
        <f>'JV 063003'!H24</f>
        <v>0</v>
      </c>
      <c r="P24" s="13">
        <f>'JV 063004'!H24</f>
        <v>0</v>
      </c>
      <c r="Q24" s="13">
        <f>'JV 063005'!H24</f>
        <v>0</v>
      </c>
      <c r="R24" s="13">
        <f>'JV 063006'!H24</f>
        <v>0</v>
      </c>
      <c r="S24" s="13">
        <f>'JV 063007'!H24</f>
        <v>0</v>
      </c>
      <c r="T24" s="13">
        <f>'El 064001'!H24</f>
        <v>0</v>
      </c>
      <c r="U24" s="13">
        <f>'EH 066011'!H24</f>
        <v>0</v>
      </c>
      <c r="V24" s="13">
        <f>MT066013!H24</f>
        <v>0</v>
      </c>
    </row>
    <row r="25" spans="1:22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0">
        <f t="shared" si="0"/>
        <v>-1125</v>
      </c>
      <c r="G25" s="38">
        <f>adm066051!H25</f>
        <v>-1125</v>
      </c>
      <c r="H25" s="38">
        <f>'gaas 04320'!H25</f>
        <v>0</v>
      </c>
      <c r="I25" s="38">
        <f>'Küte 043601'!H27</f>
        <v>0</v>
      </c>
      <c r="J25" s="38">
        <f>'küte 043602'!H25</f>
        <v>0</v>
      </c>
      <c r="K25" s="38">
        <f>'HV 052001'!H25</f>
        <v>0</v>
      </c>
      <c r="L25" s="13">
        <f>'HV 052003'!H25</f>
        <v>0</v>
      </c>
      <c r="M25" s="13">
        <f>'HV 052004'!H25</f>
        <v>0</v>
      </c>
      <c r="N25" s="13">
        <f>'JV 063001'!H25</f>
        <v>0</v>
      </c>
      <c r="O25" s="13">
        <f>'JV 063003'!H25</f>
        <v>0</v>
      </c>
      <c r="P25" s="13">
        <f>'JV 063004'!H25</f>
        <v>0</v>
      </c>
      <c r="Q25" s="13">
        <f>'JV 063005'!H25</f>
        <v>0</v>
      </c>
      <c r="R25" s="13">
        <f>'JV 063006'!H25</f>
        <v>0</v>
      </c>
      <c r="S25" s="13">
        <f>'JV 063007'!H25</f>
        <v>0</v>
      </c>
      <c r="T25" s="13">
        <f>'El 064001'!H25</f>
        <v>0</v>
      </c>
      <c r="U25" s="13">
        <f>'EH 066011'!H25</f>
        <v>0</v>
      </c>
      <c r="V25" s="13">
        <f>MT066013!H25</f>
        <v>0</v>
      </c>
    </row>
    <row r="26" spans="1:22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7">
        <f t="shared" si="0"/>
        <v>-572539.9964</v>
      </c>
      <c r="G26" s="40">
        <f>adm066051!H26</f>
        <v>-268896</v>
      </c>
      <c r="H26" s="40">
        <f>'gaas 04320'!H26</f>
        <v>0</v>
      </c>
      <c r="I26" s="40">
        <f>'Küte 043601'!H28</f>
        <v>-69509</v>
      </c>
      <c r="J26" s="40">
        <f>'küte 043602'!H26</f>
        <v>-62522</v>
      </c>
      <c r="K26" s="40">
        <f>'HV 052001'!H26</f>
        <v>-97164</v>
      </c>
      <c r="L26" s="4">
        <f>'HV 052003'!H26</f>
        <v>-17244</v>
      </c>
      <c r="M26" s="4">
        <f>'HV 052004'!H26</f>
        <v>-1256</v>
      </c>
      <c r="N26" s="4">
        <f>'JV 063001'!H26</f>
        <v>-29300</v>
      </c>
      <c r="O26" s="4">
        <f>'JV 063003'!H26</f>
        <v>0</v>
      </c>
      <c r="P26" s="4">
        <f>'JV 063004'!H26</f>
        <v>-1326</v>
      </c>
      <c r="Q26" s="4">
        <f>'JV 063005'!H26</f>
        <v>-13050.9964</v>
      </c>
      <c r="R26" s="4">
        <f>'JV 063006'!H26</f>
        <v>-1250</v>
      </c>
      <c r="S26" s="4">
        <f>'JV 063007'!H26</f>
        <v>0</v>
      </c>
      <c r="T26" s="4">
        <f>'El 064001'!H26</f>
        <v>0</v>
      </c>
      <c r="U26" s="4">
        <f>'EH 066011'!H26</f>
        <v>-4765</v>
      </c>
      <c r="V26" s="4">
        <f>MT066013!H26</f>
        <v>-6257</v>
      </c>
    </row>
    <row r="27" spans="1:22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7">
        <f t="shared" si="0"/>
        <v>-5228911.91</v>
      </c>
      <c r="G27" s="40">
        <f>adm066051!H27</f>
        <v>-342334.37</v>
      </c>
      <c r="H27" s="40">
        <f>'gaas 04320'!H27</f>
        <v>-4327.139999999999</v>
      </c>
      <c r="I27" s="40">
        <f>'Küte 043601'!H29</f>
        <v>-1963793.75</v>
      </c>
      <c r="J27" s="40">
        <f>'küte 043602'!H27</f>
        <v>-1656123.8499999999</v>
      </c>
      <c r="K27" s="40">
        <f>'HV 052001'!H27</f>
        <v>-562627.1900000001</v>
      </c>
      <c r="L27" s="4">
        <f>'HV 052003'!H27</f>
        <v>-136548.26</v>
      </c>
      <c r="M27" s="4">
        <f>'HV 052004'!H27</f>
        <v>-7224.19</v>
      </c>
      <c r="N27" s="4">
        <f>'JV 063001'!H27</f>
        <v>-356421.74000000005</v>
      </c>
      <c r="O27" s="4">
        <f>'JV 063003'!H27</f>
        <v>0</v>
      </c>
      <c r="P27" s="4">
        <f>'JV 063004'!H27</f>
        <v>-11693.640000000001</v>
      </c>
      <c r="Q27" s="4">
        <f>'JV 063005'!H27</f>
        <v>-78903.74</v>
      </c>
      <c r="R27" s="4">
        <f>'JV 063006'!H27</f>
        <v>-5079.64</v>
      </c>
      <c r="S27" s="4">
        <f>'JV 063007'!H27</f>
        <v>-19339.320000000003</v>
      </c>
      <c r="T27" s="4">
        <f>'El 064001'!H27</f>
        <v>-1714.0599999999997</v>
      </c>
      <c r="U27" s="4">
        <f>'EH 066011'!H27</f>
        <v>-54443.11</v>
      </c>
      <c r="V27" s="4">
        <f>MT066013!H27</f>
        <v>-28337.91</v>
      </c>
    </row>
    <row r="28" spans="1:22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0">
        <f t="shared" si="0"/>
        <v>-332771.37999999995</v>
      </c>
      <c r="G28" s="38">
        <f>adm066051!H28</f>
        <v>-125498.26</v>
      </c>
      <c r="H28" s="38">
        <f>'gaas 04320'!H28</f>
        <v>0</v>
      </c>
      <c r="I28" s="38">
        <f>'Küte 043601'!H30</f>
        <v>-20489.569999999996</v>
      </c>
      <c r="J28" s="38">
        <f>'küte 043602'!H28</f>
        <v>-22002.359999999997</v>
      </c>
      <c r="K28" s="38">
        <f>'HV 052001'!H28</f>
        <v>-80054.09</v>
      </c>
      <c r="L28" s="13">
        <f>'HV 052003'!H28</f>
        <v>-1857.44</v>
      </c>
      <c r="M28" s="13">
        <f>'HV 052004'!H28</f>
        <v>-116.58999999999999</v>
      </c>
      <c r="N28" s="13">
        <f>'JV 063001'!H28</f>
        <v>-76025.95999999999</v>
      </c>
      <c r="O28" s="13">
        <f>'JV 063003'!H28</f>
        <v>0</v>
      </c>
      <c r="P28" s="13">
        <f>'JV 063004'!H28</f>
        <v>-1247.51</v>
      </c>
      <c r="Q28" s="13">
        <f>'JV 063005'!H28</f>
        <v>-381.46999999999997</v>
      </c>
      <c r="R28" s="13">
        <f>'JV 063006'!H28</f>
        <v>-137.77</v>
      </c>
      <c r="S28" s="13">
        <f>'JV 063007'!H28</f>
        <v>-3630.8600000000006</v>
      </c>
      <c r="T28" s="13">
        <f>'El 064001'!H28</f>
        <v>0</v>
      </c>
      <c r="U28" s="13">
        <f>'EH 066011'!H28</f>
        <v>-1319.5</v>
      </c>
      <c r="V28" s="13">
        <f>MT066013!H28</f>
        <v>-10</v>
      </c>
    </row>
    <row r="29" spans="1:22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0">
        <f t="shared" si="0"/>
        <v>-25300</v>
      </c>
      <c r="G29" s="38">
        <f>adm066051!H29</f>
        <v>-1900</v>
      </c>
      <c r="H29" s="38">
        <f>'gaas 04320'!H29</f>
        <v>0</v>
      </c>
      <c r="I29" s="38">
        <f>'Küte 043601'!H31</f>
        <v>-11700</v>
      </c>
      <c r="J29" s="38">
        <f>'küte 043602'!H29</f>
        <v>-11700</v>
      </c>
      <c r="K29" s="38">
        <f>'HV 052001'!H29</f>
        <v>0</v>
      </c>
      <c r="L29" s="13">
        <f>'HV 052003'!H29</f>
        <v>0</v>
      </c>
      <c r="M29" s="13">
        <f>'HV 052004'!H29</f>
        <v>0</v>
      </c>
      <c r="N29" s="13">
        <f>'JV 063001'!H29</f>
        <v>0</v>
      </c>
      <c r="O29" s="13">
        <f>'JV 063003'!H29</f>
        <v>0</v>
      </c>
      <c r="P29" s="13">
        <f>'JV 063004'!H29</f>
        <v>0</v>
      </c>
      <c r="Q29" s="13">
        <f>'JV 063005'!H29</f>
        <v>0</v>
      </c>
      <c r="R29" s="13">
        <f>'JV 063006'!H29</f>
        <v>0</v>
      </c>
      <c r="S29" s="13">
        <f>'JV 063007'!H29</f>
        <v>0</v>
      </c>
      <c r="T29" s="13">
        <f>'El 064001'!H29</f>
        <v>0</v>
      </c>
      <c r="U29" s="13">
        <f>'EH 066011'!H29</f>
        <v>0</v>
      </c>
      <c r="V29" s="13">
        <f>MT066013!H29</f>
        <v>0</v>
      </c>
    </row>
    <row r="30" spans="1:22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0">
        <f t="shared" si="0"/>
        <v>-102873.89</v>
      </c>
      <c r="G30" s="38">
        <f>adm066051!H30</f>
        <v>-3798.79</v>
      </c>
      <c r="H30" s="38">
        <f>'gaas 04320'!H30</f>
        <v>0</v>
      </c>
      <c r="I30" s="38">
        <f>'Küte 043601'!H32</f>
        <v>-12443.060000000001</v>
      </c>
      <c r="J30" s="38">
        <f>'küte 043602'!H30</f>
        <v>-11857.09</v>
      </c>
      <c r="K30" s="38">
        <f>'HV 052001'!H30</f>
        <v>-15774.71</v>
      </c>
      <c r="L30" s="13">
        <f>'HV 052003'!H30</f>
        <v>-5146.1900000000005</v>
      </c>
      <c r="M30" s="13">
        <f>'HV 052004'!H30</f>
        <v>0</v>
      </c>
      <c r="N30" s="13">
        <f>'JV 063001'!H30</f>
        <v>-5189.49</v>
      </c>
      <c r="O30" s="13">
        <f>'JV 063003'!H30</f>
        <v>0</v>
      </c>
      <c r="P30" s="13">
        <f>'JV 063004'!H30</f>
        <v>0</v>
      </c>
      <c r="Q30" s="13">
        <f>'JV 063005'!H30</f>
        <v>0</v>
      </c>
      <c r="R30" s="13">
        <f>'JV 063006'!H30</f>
        <v>0</v>
      </c>
      <c r="S30" s="13">
        <f>'JV 063007'!H30</f>
        <v>0</v>
      </c>
      <c r="T30" s="13">
        <f>'El 064001'!H30</f>
        <v>0</v>
      </c>
      <c r="U30" s="13">
        <f>'EH 066011'!H30</f>
        <v>-48664.56</v>
      </c>
      <c r="V30" s="13">
        <f>MT066013!H30</f>
        <v>0</v>
      </c>
    </row>
    <row r="31" spans="1:22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0">
        <f t="shared" si="0"/>
        <v>-1116748.98</v>
      </c>
      <c r="G31" s="38">
        <f>adm066051!H31</f>
        <v>-183.26</v>
      </c>
      <c r="H31" s="38">
        <f>'gaas 04320'!H31</f>
        <v>-655</v>
      </c>
      <c r="I31" s="38">
        <f>'Küte 043601'!H33</f>
        <v>-271890.33</v>
      </c>
      <c r="J31" s="38">
        <f>'küte 043602'!H31</f>
        <v>-199843.78999999995</v>
      </c>
      <c r="K31" s="38">
        <f>'HV 052001'!H31</f>
        <v>-352877.74</v>
      </c>
      <c r="L31" s="13">
        <f>'HV 052003'!H31</f>
        <v>-95977.85999999999</v>
      </c>
      <c r="M31" s="13">
        <f>'HV 052004'!H31</f>
        <v>-6268.83</v>
      </c>
      <c r="N31" s="13">
        <f>'JV 063001'!H31</f>
        <v>-92825.05000000002</v>
      </c>
      <c r="O31" s="13">
        <f>'JV 063003'!H31</f>
        <v>0</v>
      </c>
      <c r="P31" s="13">
        <f>'JV 063004'!H31</f>
        <v>-4214.08</v>
      </c>
      <c r="Q31" s="13">
        <f>'JV 063005'!H31</f>
        <v>-72294.54</v>
      </c>
      <c r="R31" s="13">
        <f>'JV 063006'!H31</f>
        <v>-534.17</v>
      </c>
      <c r="S31" s="13">
        <f>'JV 063007'!H31</f>
        <v>-14988.46</v>
      </c>
      <c r="T31" s="13">
        <f>'El 064001'!H31</f>
        <v>0</v>
      </c>
      <c r="U31" s="13">
        <f>'EH 066011'!H31</f>
        <v>-3187.5</v>
      </c>
      <c r="V31" s="13">
        <f>MT066013!H31</f>
        <v>-1008.37</v>
      </c>
    </row>
    <row r="32" spans="1:22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0">
        <f t="shared" si="0"/>
        <v>-296465.0900000001</v>
      </c>
      <c r="G32" s="38">
        <f>adm066051!H32</f>
        <v>-153390.5</v>
      </c>
      <c r="H32" s="38">
        <f>'gaas 04320'!H32</f>
        <v>0</v>
      </c>
      <c r="I32" s="38">
        <f>'Küte 043601'!H34</f>
        <v>-33462.74</v>
      </c>
      <c r="J32" s="38">
        <f>'küte 043602'!H32</f>
        <v>-26401.38</v>
      </c>
      <c r="K32" s="38">
        <f>'HV 052001'!H32</f>
        <v>-52575.89</v>
      </c>
      <c r="L32" s="13">
        <f>'HV 052003'!H32</f>
        <v>-16502.84</v>
      </c>
      <c r="M32" s="13">
        <f>'HV 052004'!H32</f>
        <v>-838.77</v>
      </c>
      <c r="N32" s="13">
        <f>'JV 063001'!H32</f>
        <v>-7050.450000000001</v>
      </c>
      <c r="O32" s="13">
        <f>'JV 063003'!H32</f>
        <v>0</v>
      </c>
      <c r="P32" s="13">
        <f>'JV 063004'!H32</f>
        <v>-838.77</v>
      </c>
      <c r="Q32" s="13">
        <f>'JV 063005'!H32</f>
        <v>-2546.06</v>
      </c>
      <c r="R32" s="13">
        <f>'JV 063006'!H32</f>
        <v>-838.77</v>
      </c>
      <c r="S32" s="13">
        <f>'JV 063007'!H32</f>
        <v>0</v>
      </c>
      <c r="T32" s="13">
        <f>'El 064001'!H32</f>
        <v>0</v>
      </c>
      <c r="U32" s="13">
        <f>'EH 066011'!H32</f>
        <v>-451.91999999999996</v>
      </c>
      <c r="V32" s="13">
        <f>MT066013!H32</f>
        <v>-1567</v>
      </c>
    </row>
    <row r="33" spans="1:22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0">
        <f t="shared" si="0"/>
        <v>-45902.22</v>
      </c>
      <c r="G33" s="38">
        <f>adm066051!H33</f>
        <v>-45260.56</v>
      </c>
      <c r="H33" s="38">
        <f>'gaas 04320'!H33</f>
        <v>0</v>
      </c>
      <c r="I33" s="38">
        <f>'Küte 043601'!H35</f>
        <v>0</v>
      </c>
      <c r="J33" s="38">
        <f>'küte 043602'!H33</f>
        <v>-641.66</v>
      </c>
      <c r="K33" s="38">
        <f>'HV 052001'!H33</f>
        <v>0</v>
      </c>
      <c r="L33" s="13">
        <f>'HV 052003'!H33</f>
        <v>0</v>
      </c>
      <c r="M33" s="13">
        <f>'HV 052004'!H33</f>
        <v>0</v>
      </c>
      <c r="N33" s="13">
        <f>'JV 063001'!H33</f>
        <v>0</v>
      </c>
      <c r="O33" s="13">
        <f>'JV 063003'!H33</f>
        <v>0</v>
      </c>
      <c r="P33" s="13">
        <f>'JV 063004'!H33</f>
        <v>0</v>
      </c>
      <c r="Q33" s="13">
        <f>'JV 063005'!H33</f>
        <v>0</v>
      </c>
      <c r="R33" s="13">
        <f>'JV 063006'!H33</f>
        <v>0</v>
      </c>
      <c r="S33" s="13">
        <f>'JV 063007'!H33</f>
        <v>0</v>
      </c>
      <c r="T33" s="13">
        <f>'El 064001'!H33</f>
        <v>0</v>
      </c>
      <c r="U33" s="13">
        <f>'EH 066011'!H33</f>
        <v>0</v>
      </c>
      <c r="V33" s="13">
        <f>MT066013!H33</f>
        <v>0</v>
      </c>
    </row>
    <row r="34" spans="1:22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0">
        <f t="shared" si="0"/>
        <v>-39055.439999999995</v>
      </c>
      <c r="G34" s="38">
        <f>adm066051!H34</f>
        <v>-12125</v>
      </c>
      <c r="H34" s="38">
        <f>'gaas 04320'!H34</f>
        <v>0</v>
      </c>
      <c r="I34" s="38">
        <f>'Küte 043601'!H36</f>
        <v>-1790</v>
      </c>
      <c r="J34" s="38">
        <f>'küte 043602'!H34</f>
        <v>-4482.85</v>
      </c>
      <c r="K34" s="38">
        <f>'HV 052001'!H34</f>
        <v>-5872.21</v>
      </c>
      <c r="L34" s="13">
        <f>'HV 052003'!H34</f>
        <v>-3250</v>
      </c>
      <c r="M34" s="13">
        <f>'HV 052004'!H34</f>
        <v>0</v>
      </c>
      <c r="N34" s="13">
        <f>'JV 063001'!H34</f>
        <v>-7420.37</v>
      </c>
      <c r="O34" s="13">
        <f>'JV 063003'!H34</f>
        <v>0</v>
      </c>
      <c r="P34" s="13">
        <f>'JV 063004'!H34</f>
        <v>0</v>
      </c>
      <c r="Q34" s="13">
        <f>'JV 063005'!H34</f>
        <v>-3681.67</v>
      </c>
      <c r="R34" s="13">
        <f>'JV 063006'!H34</f>
        <v>0</v>
      </c>
      <c r="S34" s="13">
        <f>'JV 063007'!H34</f>
        <v>0</v>
      </c>
      <c r="T34" s="13">
        <f>'El 064001'!H34</f>
        <v>0</v>
      </c>
      <c r="U34" s="13">
        <f>'EH 066011'!H34</f>
        <v>-433.34000000000003</v>
      </c>
      <c r="V34" s="13">
        <f>MT066013!H34</f>
        <v>0</v>
      </c>
    </row>
    <row r="35" spans="1:22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0">
        <f t="shared" si="0"/>
        <v>-227618.72999999998</v>
      </c>
      <c r="G35" s="38">
        <f>adm066051!H35</f>
        <v>0</v>
      </c>
      <c r="H35" s="38">
        <f>'gaas 04320'!H35</f>
        <v>0</v>
      </c>
      <c r="I35" s="38">
        <f>'Küte 043601'!H37</f>
        <v>-77688.01</v>
      </c>
      <c r="J35" s="38">
        <f>'küte 043602'!H35</f>
        <v>-114000.6</v>
      </c>
      <c r="K35" s="38">
        <f>'HV 052001'!H35</f>
        <v>-25477.010000000006</v>
      </c>
      <c r="L35" s="13">
        <f>'HV 052003'!H35</f>
        <v>-4039</v>
      </c>
      <c r="M35" s="13">
        <f>'HV 052004'!H35</f>
        <v>0</v>
      </c>
      <c r="N35" s="13">
        <f>'JV 063001'!H35</f>
        <v>-880.83</v>
      </c>
      <c r="O35" s="13">
        <f>'JV 063003'!H35</f>
        <v>0</v>
      </c>
      <c r="P35" s="13">
        <f>'JV 063004'!H35</f>
        <v>-4673.28</v>
      </c>
      <c r="Q35" s="13">
        <f>'JV 063005'!H35</f>
        <v>0</v>
      </c>
      <c r="R35" s="13">
        <f>'JV 063006'!H35</f>
        <v>0</v>
      </c>
      <c r="S35" s="13">
        <f>'JV 063007'!H35</f>
        <v>0</v>
      </c>
      <c r="T35" s="13">
        <f>'El 064001'!H35</f>
        <v>0</v>
      </c>
      <c r="U35" s="13">
        <f>'EH 066011'!H35</f>
        <v>-195</v>
      </c>
      <c r="V35" s="13">
        <f>MT066013!H35</f>
        <v>-665</v>
      </c>
    </row>
    <row r="36" spans="1:22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0">
        <f t="shared" si="0"/>
        <v>0</v>
      </c>
      <c r="G36" s="38">
        <f>adm066051!H36</f>
        <v>0</v>
      </c>
      <c r="H36" s="38">
        <f>'gaas 04320'!H36</f>
        <v>0</v>
      </c>
      <c r="I36" s="38">
        <f>'Küte 043601'!H38</f>
        <v>0</v>
      </c>
      <c r="J36" s="38">
        <f>'küte 043602'!H36</f>
        <v>0</v>
      </c>
      <c r="K36" s="38">
        <f>'HV 052001'!H36</f>
        <v>0</v>
      </c>
      <c r="L36" s="13">
        <f>'HV 052003'!H36</f>
        <v>0</v>
      </c>
      <c r="M36" s="13">
        <f>'HV 052004'!H36</f>
        <v>0</v>
      </c>
      <c r="N36" s="13">
        <f>'JV 063001'!H36</f>
        <v>0</v>
      </c>
      <c r="O36" s="13">
        <f>'JV 063003'!H36</f>
        <v>0</v>
      </c>
      <c r="P36" s="13">
        <f>'JV 063004'!H36</f>
        <v>0</v>
      </c>
      <c r="Q36" s="13">
        <f>'JV 063005'!H36</f>
        <v>0</v>
      </c>
      <c r="R36" s="13">
        <f>'JV 063006'!H36</f>
        <v>0</v>
      </c>
      <c r="S36" s="13">
        <f>'JV 063007'!H36</f>
        <v>0</v>
      </c>
      <c r="T36" s="13">
        <f>'El 064001'!H36</f>
        <v>0</v>
      </c>
      <c r="U36" s="13">
        <f>'EH 066011'!H36</f>
        <v>0</v>
      </c>
      <c r="V36" s="13">
        <f>MT066013!H36</f>
        <v>0</v>
      </c>
    </row>
    <row r="37" spans="1:22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0">
        <f t="shared" si="0"/>
        <v>0</v>
      </c>
      <c r="G37" s="38">
        <f>adm066051!H37</f>
        <v>0</v>
      </c>
      <c r="H37" s="38">
        <f>'gaas 04320'!H37</f>
        <v>0</v>
      </c>
      <c r="I37" s="38">
        <f>'Küte 043601'!H39</f>
        <v>0</v>
      </c>
      <c r="J37" s="38">
        <f>'küte 043602'!H37</f>
        <v>0</v>
      </c>
      <c r="K37" s="38">
        <f>'HV 052001'!H37</f>
        <v>0</v>
      </c>
      <c r="L37" s="13">
        <f>'HV 052003'!H37</f>
        <v>0</v>
      </c>
      <c r="M37" s="13">
        <f>'HV 052004'!H37</f>
        <v>0</v>
      </c>
      <c r="N37" s="13">
        <f>'JV 063001'!H37</f>
        <v>0</v>
      </c>
      <c r="O37" s="13">
        <f>'JV 063003'!H37</f>
        <v>0</v>
      </c>
      <c r="P37" s="13">
        <f>'JV 063004'!H37</f>
        <v>0</v>
      </c>
      <c r="Q37" s="13">
        <f>'JV 063005'!H37</f>
        <v>0</v>
      </c>
      <c r="R37" s="13">
        <f>'JV 063006'!H37</f>
        <v>0</v>
      </c>
      <c r="S37" s="13">
        <f>'JV 063007'!H37</f>
        <v>0</v>
      </c>
      <c r="T37" s="13">
        <f>'El 064001'!H37</f>
        <v>0</v>
      </c>
      <c r="U37" s="13">
        <f>'EH 066011'!H37</f>
        <v>0</v>
      </c>
      <c r="V37" s="13">
        <f>MT066013!H37</f>
        <v>0</v>
      </c>
    </row>
    <row r="38" spans="1:22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0">
        <f t="shared" si="0"/>
        <v>-2960527.750000001</v>
      </c>
      <c r="G38" s="38">
        <f>adm066051!H38</f>
        <v>0</v>
      </c>
      <c r="H38" s="38">
        <f>'gaas 04320'!H38</f>
        <v>-3672.1399999999994</v>
      </c>
      <c r="I38" s="38">
        <f>'Küte 043601'!H40</f>
        <v>-1516614.9500000002</v>
      </c>
      <c r="J38" s="38">
        <f>'küte 043602'!H38</f>
        <v>-1244637.6400000001</v>
      </c>
      <c r="K38" s="38">
        <f>'HV 052001'!H38</f>
        <v>-525</v>
      </c>
      <c r="L38" s="13">
        <f>'HV 052003'!H38</f>
        <v>0</v>
      </c>
      <c r="M38" s="13">
        <f>'HV 052004'!H38</f>
        <v>0</v>
      </c>
      <c r="N38" s="13">
        <f>'JV 063001'!H38</f>
        <v>-164707.49</v>
      </c>
      <c r="O38" s="13">
        <f>'JV 063003'!H38</f>
        <v>0</v>
      </c>
      <c r="P38" s="13">
        <f>'JV 063004'!H38</f>
        <v>0</v>
      </c>
      <c r="Q38" s="13">
        <f>'JV 063005'!H38</f>
        <v>0</v>
      </c>
      <c r="R38" s="13">
        <f>'JV 063006'!H38</f>
        <v>-3568.9300000000003</v>
      </c>
      <c r="S38" s="13">
        <f>'JV 063007'!H38</f>
        <v>0</v>
      </c>
      <c r="T38" s="13">
        <f>'El 064001'!H38</f>
        <v>-1714.0599999999997</v>
      </c>
      <c r="U38" s="13">
        <f>'EH 066011'!H38</f>
        <v>0</v>
      </c>
      <c r="V38" s="13">
        <f>MT066013!H38</f>
        <v>-25087.54</v>
      </c>
    </row>
    <row r="39" spans="1:22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0">
        <f t="shared" si="0"/>
        <v>-13113.43</v>
      </c>
      <c r="G39" s="38">
        <f>adm066051!H39</f>
        <v>0</v>
      </c>
      <c r="H39" s="38">
        <f>'gaas 04320'!H39</f>
        <v>0</v>
      </c>
      <c r="I39" s="38">
        <f>'Küte 043601'!H41</f>
        <v>-4595.09</v>
      </c>
      <c r="J39" s="38">
        <f>'küte 043602'!H39</f>
        <v>-2497.48</v>
      </c>
      <c r="K39" s="38">
        <f>'HV 052001'!H39</f>
        <v>-3487.21</v>
      </c>
      <c r="L39" s="13">
        <f>'HV 052003'!H39</f>
        <v>-180.26</v>
      </c>
      <c r="M39" s="13">
        <f>'HV 052004'!H39</f>
        <v>0</v>
      </c>
      <c r="N39" s="13">
        <f>'JV 063001'!H39</f>
        <v>-2322.1</v>
      </c>
      <c r="O39" s="13">
        <f>'JV 063003'!H39</f>
        <v>0</v>
      </c>
      <c r="P39" s="13">
        <f>'JV 063004'!H39</f>
        <v>0</v>
      </c>
      <c r="Q39" s="13">
        <f>'JV 063005'!H39</f>
        <v>0</v>
      </c>
      <c r="R39" s="13">
        <f>'JV 063006'!H39</f>
        <v>0</v>
      </c>
      <c r="S39" s="13">
        <f>'JV 063007'!H39</f>
        <v>0</v>
      </c>
      <c r="T39" s="13">
        <f>'El 064001'!H39</f>
        <v>0</v>
      </c>
      <c r="U39" s="13">
        <f>'EH 066011'!H39</f>
        <v>-31.29</v>
      </c>
      <c r="V39" s="13">
        <f>MT066013!H39</f>
        <v>0</v>
      </c>
    </row>
    <row r="40" spans="1:22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0">
        <f t="shared" si="0"/>
        <v>-55238</v>
      </c>
      <c r="G40" s="38">
        <f>adm066051!H40</f>
        <v>0</v>
      </c>
      <c r="H40" s="38">
        <f>'gaas 04320'!H40</f>
        <v>0</v>
      </c>
      <c r="I40" s="38">
        <f>'Küte 043601'!H42</f>
        <v>-10320</v>
      </c>
      <c r="J40" s="38">
        <f>'küte 043602'!H40</f>
        <v>-7900</v>
      </c>
      <c r="K40" s="38">
        <f>'HV 052001'!H40</f>
        <v>-25983.33</v>
      </c>
      <c r="L40" s="13">
        <f>'HV 052003'!H40</f>
        <v>-9594.67</v>
      </c>
      <c r="M40" s="13">
        <f>'HV 052004'!H40</f>
        <v>0</v>
      </c>
      <c r="N40" s="13">
        <f>'JV 063001'!H40</f>
        <v>0</v>
      </c>
      <c r="O40" s="13">
        <f>'JV 063003'!H40</f>
        <v>0</v>
      </c>
      <c r="P40" s="13">
        <f>'JV 063004'!H40</f>
        <v>-720</v>
      </c>
      <c r="Q40" s="13">
        <f>'JV 063005'!H40</f>
        <v>0</v>
      </c>
      <c r="R40" s="13">
        <f>'JV 063006'!H40</f>
        <v>0</v>
      </c>
      <c r="S40" s="13">
        <f>'JV 063007'!H40</f>
        <v>-720</v>
      </c>
      <c r="T40" s="13">
        <f>'El 064001'!H40</f>
        <v>0</v>
      </c>
      <c r="U40" s="13">
        <f>'EH 066011'!H40</f>
        <v>0</v>
      </c>
      <c r="V40" s="13">
        <f>MT066013!H40</f>
        <v>0</v>
      </c>
    </row>
    <row r="41" spans="1:22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0">
        <f t="shared" si="0"/>
        <v>-13297</v>
      </c>
      <c r="G41" s="38">
        <f>adm066051!H41</f>
        <v>-178</v>
      </c>
      <c r="H41" s="38">
        <f>'gaas 04320'!H41</f>
        <v>0</v>
      </c>
      <c r="I41" s="38">
        <f>'Küte 043601'!H43</f>
        <v>-2800</v>
      </c>
      <c r="J41" s="38">
        <f>'küte 043602'!H41</f>
        <v>-10159</v>
      </c>
      <c r="K41" s="38">
        <f>'HV 052001'!H41</f>
        <v>0</v>
      </c>
      <c r="L41" s="13">
        <f>'HV 052003'!H41</f>
        <v>0</v>
      </c>
      <c r="M41" s="13">
        <f>'HV 052004'!H41</f>
        <v>0</v>
      </c>
      <c r="N41" s="13">
        <f>'JV 063001'!H41</f>
        <v>0</v>
      </c>
      <c r="O41" s="13">
        <f>'JV 063003'!H41</f>
        <v>0</v>
      </c>
      <c r="P41" s="13">
        <f>'JV 063004'!H41</f>
        <v>0</v>
      </c>
      <c r="Q41" s="13">
        <f>'JV 063005'!H41</f>
        <v>0</v>
      </c>
      <c r="R41" s="13">
        <f>'JV 063006'!H41</f>
        <v>0</v>
      </c>
      <c r="S41" s="13">
        <f>'JV 063007'!H41</f>
        <v>0</v>
      </c>
      <c r="T41" s="13">
        <f>'El 064001'!H41</f>
        <v>0</v>
      </c>
      <c r="U41" s="13">
        <f>'EH 066011'!H41</f>
        <v>-160</v>
      </c>
      <c r="V41" s="13">
        <f>MT066013!H41</f>
        <v>0</v>
      </c>
    </row>
    <row r="42" spans="1:22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 t="shared" si="0"/>
        <v>-3141819.9400000004</v>
      </c>
      <c r="G42" s="40">
        <f>adm066051!H42</f>
        <v>-85940.55</v>
      </c>
      <c r="H42" s="40">
        <f>'gaas 04320'!H42</f>
        <v>0</v>
      </c>
      <c r="I42" s="40">
        <f>'Küte 043601'!H44</f>
        <v>-744939.8799999999</v>
      </c>
      <c r="J42" s="40">
        <f>'küte 043602'!H42</f>
        <v>-446893.98</v>
      </c>
      <c r="K42" s="40">
        <f>'HV 052001'!H42</f>
        <v>-1076671</v>
      </c>
      <c r="L42" s="4">
        <f>'HV 052003'!H42</f>
        <v>-324867.29</v>
      </c>
      <c r="M42" s="4">
        <f>'HV 052004'!H42</f>
        <v>-4468.3</v>
      </c>
      <c r="N42" s="4">
        <f>'JV 063001'!H42</f>
        <v>-163301.44999999998</v>
      </c>
      <c r="O42" s="4">
        <f>'JV 063003'!H42</f>
        <v>-2695</v>
      </c>
      <c r="P42" s="4">
        <f>'JV 063004'!H42</f>
        <v>-25304.26</v>
      </c>
      <c r="Q42" s="4">
        <f>'JV 063005'!H42</f>
        <v>-47189.450000000004</v>
      </c>
      <c r="R42" s="4">
        <f>'JV 063006'!H42</f>
        <v>-631.95</v>
      </c>
      <c r="S42" s="4">
        <f>'JV 063007'!H42</f>
        <v>-209019.78</v>
      </c>
      <c r="T42" s="4">
        <f>'El 064001'!H42</f>
        <v>0</v>
      </c>
      <c r="U42" s="4">
        <f>'EH 066011'!H42</f>
        <v>-7164.72</v>
      </c>
      <c r="V42" s="4">
        <f>MT066013!H42</f>
        <v>-2732.33</v>
      </c>
    </row>
    <row r="43" spans="1:22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7">
        <f t="shared" si="0"/>
        <v>-366590.19999999995</v>
      </c>
      <c r="G43" s="40">
        <f>adm066051!H43</f>
        <v>-12451.759999999998</v>
      </c>
      <c r="H43" s="40">
        <f>'gaas 04320'!H43</f>
        <v>0</v>
      </c>
      <c r="I43" s="40">
        <f>'Küte 043601'!H45</f>
        <v>-15621.34</v>
      </c>
      <c r="J43" s="40">
        <f>'küte 043602'!H43</f>
        <v>-11332.43</v>
      </c>
      <c r="K43" s="40">
        <f>'HV 052001'!H43</f>
        <v>-114985.10999999999</v>
      </c>
      <c r="L43" s="4">
        <f>'HV 052003'!H43</f>
        <v>-104127.22</v>
      </c>
      <c r="M43" s="4">
        <f>'HV 052004'!H43</f>
        <v>-3836.3499999999995</v>
      </c>
      <c r="N43" s="4">
        <f>'JV 063001'!H43</f>
        <v>-48194.03999999999</v>
      </c>
      <c r="O43" s="4">
        <f>'JV 063003'!H43</f>
        <v>0</v>
      </c>
      <c r="P43" s="4">
        <f>'JV 063004'!H43</f>
        <v>-8444.310000000001</v>
      </c>
      <c r="Q43" s="4">
        <f>'JV 063005'!H43</f>
        <v>-39630.58</v>
      </c>
      <c r="R43" s="4">
        <f>'JV 063006'!H43</f>
        <v>0</v>
      </c>
      <c r="S43" s="4">
        <f>'JV 063007'!H43</f>
        <v>-537.37</v>
      </c>
      <c r="T43" s="4">
        <f>'El 064001'!H43</f>
        <v>0</v>
      </c>
      <c r="U43" s="4">
        <f>'EH 066011'!H43</f>
        <v>-4697.36</v>
      </c>
      <c r="V43" s="4">
        <f>MT066013!H43</f>
        <v>-2732.33</v>
      </c>
    </row>
    <row r="44" spans="1:22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7">
        <f t="shared" si="0"/>
        <v>-349231.91000000003</v>
      </c>
      <c r="G44" s="40">
        <f>adm066051!H44</f>
        <v>-11470.91</v>
      </c>
      <c r="H44" s="40">
        <f>'gaas 04320'!H44</f>
        <v>0</v>
      </c>
      <c r="I44" s="40">
        <f>'Küte 043601'!H46</f>
        <v>-15008</v>
      </c>
      <c r="J44" s="40">
        <f>'küte 043602'!H44</f>
        <v>-10631</v>
      </c>
      <c r="K44" s="40">
        <f>'HV 052001'!H44</f>
        <v>-111825.07999999999</v>
      </c>
      <c r="L44" s="4">
        <f>'HV 052003'!H44</f>
        <v>-100774.03</v>
      </c>
      <c r="M44" s="4">
        <f>'HV 052004'!H44</f>
        <v>-3836.3499999999995</v>
      </c>
      <c r="N44" s="4">
        <f>'JV 063001'!H44</f>
        <v>-46147.13999999999</v>
      </c>
      <c r="O44" s="4">
        <f>'JV 063003'!H44</f>
        <v>0</v>
      </c>
      <c r="P44" s="4">
        <f>'JV 063004'!H44</f>
        <v>-8444.310000000001</v>
      </c>
      <c r="Q44" s="4">
        <f>'JV 063005'!H44</f>
        <v>-40274.09</v>
      </c>
      <c r="R44" s="4">
        <f>'JV 063006'!H44</f>
        <v>0</v>
      </c>
      <c r="S44" s="4">
        <f>'JV 063007'!H44</f>
        <v>-288</v>
      </c>
      <c r="T44" s="4">
        <f>'El 064001'!H44</f>
        <v>0</v>
      </c>
      <c r="U44" s="4">
        <f>'EH 066011'!H44</f>
        <v>-533</v>
      </c>
      <c r="V44" s="4">
        <f>MT066013!H44</f>
        <v>0</v>
      </c>
    </row>
    <row r="45" spans="1:22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0">
        <f t="shared" si="0"/>
        <v>-349231.91000000003</v>
      </c>
      <c r="G45" s="38">
        <f>adm066051!H45</f>
        <v>-11470.91</v>
      </c>
      <c r="H45" s="38">
        <f>'gaas 04320'!H45</f>
        <v>0</v>
      </c>
      <c r="I45" s="38">
        <f>'Küte 043601'!H47</f>
        <v>-15008</v>
      </c>
      <c r="J45" s="38">
        <f>'küte 043602'!H45</f>
        <v>-10631</v>
      </c>
      <c r="K45" s="38">
        <f>'HV 052001'!H45</f>
        <v>-111825.07999999999</v>
      </c>
      <c r="L45" s="13">
        <f>'HV 052003'!H45</f>
        <v>-100774.03</v>
      </c>
      <c r="M45" s="13">
        <f>'HV 052004'!H45</f>
        <v>-3836.3499999999995</v>
      </c>
      <c r="N45" s="13">
        <f>'JV 063001'!H45</f>
        <v>-46147.13999999999</v>
      </c>
      <c r="O45" s="13">
        <f>'JV 063003'!H45</f>
        <v>0</v>
      </c>
      <c r="P45" s="13">
        <f>'JV 063004'!H45</f>
        <v>-8444.310000000001</v>
      </c>
      <c r="Q45" s="13">
        <f>'JV 063005'!H45</f>
        <v>-40274.09</v>
      </c>
      <c r="R45" s="13">
        <f>'JV 063006'!H45</f>
        <v>0</v>
      </c>
      <c r="S45" s="13">
        <f>'JV 063007'!H45</f>
        <v>-288</v>
      </c>
      <c r="T45" s="13">
        <f>'El 064001'!H45</f>
        <v>0</v>
      </c>
      <c r="U45" s="13">
        <f>'EH 066011'!H45</f>
        <v>-533</v>
      </c>
      <c r="V45" s="13">
        <f>MT066013!H45</f>
        <v>0</v>
      </c>
    </row>
    <row r="46" spans="1:22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7">
        <f t="shared" si="0"/>
        <v>-13554.26</v>
      </c>
      <c r="G46" s="42">
        <f>adm066051!H46</f>
        <v>0</v>
      </c>
      <c r="H46" s="42">
        <f>'gaas 04320'!H46</f>
        <v>0</v>
      </c>
      <c r="I46" s="42">
        <f>'Küte 043601'!H48</f>
        <v>0</v>
      </c>
      <c r="J46" s="42">
        <f>'küte 043602'!H46</f>
        <v>0</v>
      </c>
      <c r="K46" s="42">
        <f>'HV 052001'!H46</f>
        <v>-2308.65</v>
      </c>
      <c r="L46" s="15">
        <f>'HV 052003'!H46</f>
        <v>-2945.53</v>
      </c>
      <c r="M46" s="15">
        <f>'HV 052004'!H46</f>
        <v>0</v>
      </c>
      <c r="N46" s="15">
        <f>'JV 063001'!H46</f>
        <v>-2046.9</v>
      </c>
      <c r="O46" s="15">
        <f>'JV 063003'!H46</f>
        <v>0</v>
      </c>
      <c r="P46" s="15">
        <f>'JV 063004'!H46</f>
        <v>0</v>
      </c>
      <c r="Q46" s="15">
        <f>'JV 063005'!H46</f>
        <v>643.51</v>
      </c>
      <c r="R46" s="15">
        <f>'JV 063006'!H46</f>
        <v>0</v>
      </c>
      <c r="S46" s="15">
        <f>'JV 063007'!H46</f>
        <v>0</v>
      </c>
      <c r="T46" s="15">
        <f>'El 064001'!H46</f>
        <v>0</v>
      </c>
      <c r="U46" s="15">
        <f>'EH 066011'!H46</f>
        <v>-4164.36</v>
      </c>
      <c r="V46" s="15">
        <f>MT066013!H46</f>
        <v>-2732.33</v>
      </c>
    </row>
    <row r="47" spans="1:22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7">
        <f t="shared" si="0"/>
        <v>-3804.0299999999997</v>
      </c>
      <c r="G47" s="42">
        <f>adm066051!H47</f>
        <v>-980.85</v>
      </c>
      <c r="H47" s="42">
        <f>'gaas 04320'!H47</f>
        <v>0</v>
      </c>
      <c r="I47" s="42">
        <f>'Küte 043601'!H49</f>
        <v>-613.34</v>
      </c>
      <c r="J47" s="42">
        <f>'küte 043602'!H47</f>
        <v>-701.43</v>
      </c>
      <c r="K47" s="42">
        <f>'HV 052001'!H47</f>
        <v>-851.38</v>
      </c>
      <c r="L47" s="15">
        <f>'HV 052003'!H47</f>
        <v>-407.66</v>
      </c>
      <c r="M47" s="15">
        <f>'HV 052004'!H47</f>
        <v>0</v>
      </c>
      <c r="N47" s="15">
        <f>'JV 063001'!H47</f>
        <v>0</v>
      </c>
      <c r="O47" s="15">
        <f>'JV 063003'!H47</f>
        <v>0</v>
      </c>
      <c r="P47" s="15">
        <f>'JV 063004'!H47</f>
        <v>0</v>
      </c>
      <c r="Q47" s="15">
        <f>'JV 063005'!H47</f>
        <v>0</v>
      </c>
      <c r="R47" s="15">
        <f>'JV 063006'!H47</f>
        <v>0</v>
      </c>
      <c r="S47" s="15">
        <f>'JV 063007'!H47</f>
        <v>-249.37</v>
      </c>
      <c r="T47" s="15">
        <f>'El 064001'!H47</f>
        <v>0</v>
      </c>
      <c r="U47" s="15">
        <f>'EH 066011'!H47</f>
        <v>0</v>
      </c>
      <c r="V47" s="15">
        <f>MT066013!H47</f>
        <v>0</v>
      </c>
    </row>
    <row r="48" spans="1:22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7">
        <f t="shared" si="0"/>
        <v>-2506241.91</v>
      </c>
      <c r="G48" s="40">
        <f>adm066051!H48</f>
        <v>-35480.91</v>
      </c>
      <c r="H48" s="40">
        <f>'gaas 04320'!H48</f>
        <v>0</v>
      </c>
      <c r="I48" s="40">
        <f>'Küte 043601'!H50</f>
        <v>-660230</v>
      </c>
      <c r="J48" s="40">
        <f>'küte 043602'!H48</f>
        <v>-411826</v>
      </c>
      <c r="K48" s="40">
        <f>'HV 052001'!H48</f>
        <v>-906156</v>
      </c>
      <c r="L48" s="4">
        <f>'HV 052003'!H48</f>
        <v>-176497</v>
      </c>
      <c r="M48" s="4">
        <f>'HV 052004'!H48</f>
        <v>-597</v>
      </c>
      <c r="N48" s="4">
        <f>'JV 063001'!H48</f>
        <v>-114622</v>
      </c>
      <c r="O48" s="4">
        <f>'JV 063003'!H48</f>
        <v>-2695</v>
      </c>
      <c r="P48" s="4">
        <f>'JV 063004'!H48</f>
        <v>-16825</v>
      </c>
      <c r="Q48" s="4">
        <f>'JV 063005'!H48</f>
        <v>-7454</v>
      </c>
      <c r="R48" s="4">
        <f>'JV 063006'!H48</f>
        <v>-597</v>
      </c>
      <c r="S48" s="4">
        <f>'JV 063007'!H48</f>
        <v>-170827</v>
      </c>
      <c r="T48" s="4">
        <f>'El 064001'!H48</f>
        <v>0</v>
      </c>
      <c r="U48" s="4">
        <f>'EH 066011'!H48</f>
        <v>-2435</v>
      </c>
      <c r="V48" s="4">
        <f>MT066013!H48</f>
        <v>0</v>
      </c>
    </row>
    <row r="49" spans="1:22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7">
        <f t="shared" si="0"/>
        <v>-2506241.91</v>
      </c>
      <c r="G49" s="40">
        <f>adm066051!H49</f>
        <v>-35480.91</v>
      </c>
      <c r="H49" s="40">
        <f>'gaas 04320'!H49</f>
        <v>0</v>
      </c>
      <c r="I49" s="40">
        <f>'Küte 043601'!H51</f>
        <v>-660230</v>
      </c>
      <c r="J49" s="40">
        <f>'küte 043602'!H49</f>
        <v>-411826</v>
      </c>
      <c r="K49" s="40">
        <f>'HV 052001'!H49</f>
        <v>-906156</v>
      </c>
      <c r="L49" s="4">
        <f>'HV 052003'!H49</f>
        <v>-176497</v>
      </c>
      <c r="M49" s="4">
        <f>'HV 052004'!H49</f>
        <v>-597</v>
      </c>
      <c r="N49" s="4">
        <f>'JV 063001'!H49</f>
        <v>-114622</v>
      </c>
      <c r="O49" s="4">
        <f>'JV 063003'!H49</f>
        <v>-2695</v>
      </c>
      <c r="P49" s="4">
        <f>'JV 063004'!H49</f>
        <v>-16825</v>
      </c>
      <c r="Q49" s="4">
        <f>'JV 063005'!H49</f>
        <v>-7454</v>
      </c>
      <c r="R49" s="4">
        <f>'JV 063006'!H49</f>
        <v>-597</v>
      </c>
      <c r="S49" s="4">
        <f>'JV 063007'!H49</f>
        <v>-170827</v>
      </c>
      <c r="T49" s="4">
        <f>'El 064001'!H49</f>
        <v>0</v>
      </c>
      <c r="U49" s="4">
        <f>'EH 066011'!H49</f>
        <v>-2435</v>
      </c>
      <c r="V49" s="4">
        <f>MT066013!H49</f>
        <v>0</v>
      </c>
    </row>
    <row r="50" spans="1:22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0">
        <f t="shared" si="0"/>
        <v>-1810499</v>
      </c>
      <c r="G50" s="38">
        <f>adm066051!H50</f>
        <v>0</v>
      </c>
      <c r="H50" s="38">
        <f>'gaas 04320'!H50</f>
        <v>0</v>
      </c>
      <c r="I50" s="38">
        <f>'Küte 043601'!H52</f>
        <v>-319282</v>
      </c>
      <c r="J50" s="38">
        <f>'küte 043602'!H50</f>
        <v>-128240</v>
      </c>
      <c r="K50" s="38">
        <f>'HV 052001'!H50</f>
        <v>-885759</v>
      </c>
      <c r="L50" s="13">
        <f>'HV 052003'!H50</f>
        <v>-174706</v>
      </c>
      <c r="M50" s="13">
        <f>'HV 052004'!H50</f>
        <v>0</v>
      </c>
      <c r="N50" s="13">
        <f>'JV 063001'!H50</f>
        <v>-112367</v>
      </c>
      <c r="O50" s="13">
        <f>'JV 063003'!H50</f>
        <v>-2695</v>
      </c>
      <c r="P50" s="13">
        <f>'JV 063004'!H50</f>
        <v>-14338</v>
      </c>
      <c r="Q50" s="13">
        <f>'JV 063005'!H50</f>
        <v>0</v>
      </c>
      <c r="R50" s="13">
        <f>'JV 063006'!H50</f>
        <v>0</v>
      </c>
      <c r="S50" s="13">
        <f>'JV 063007'!H50</f>
        <v>-170827</v>
      </c>
      <c r="T50" s="13">
        <f>'El 064001'!H50</f>
        <v>0</v>
      </c>
      <c r="U50" s="13">
        <f>'EH 066011'!H50</f>
        <v>-2285</v>
      </c>
      <c r="V50" s="13">
        <f>MT066013!H50</f>
        <v>0</v>
      </c>
    </row>
    <row r="51" spans="1:22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0">
        <f t="shared" si="0"/>
        <v>-659260</v>
      </c>
      <c r="G51" s="38">
        <f>adm066051!H51</f>
        <v>-20649</v>
      </c>
      <c r="H51" s="38">
        <f>'gaas 04320'!H51</f>
        <v>0</v>
      </c>
      <c r="I51" s="38">
        <f>'Küte 043601'!H53</f>
        <v>-326682</v>
      </c>
      <c r="J51" s="38">
        <f>'küte 043602'!H51</f>
        <v>-276201</v>
      </c>
      <c r="K51" s="38">
        <f>'HV 052001'!H51</f>
        <v>-20397</v>
      </c>
      <c r="L51" s="13">
        <f>'HV 052003'!H51</f>
        <v>-1791</v>
      </c>
      <c r="M51" s="13">
        <f>'HV 052004'!H51</f>
        <v>-597</v>
      </c>
      <c r="N51" s="13">
        <f>'JV 063001'!H51</f>
        <v>-2255</v>
      </c>
      <c r="O51" s="13">
        <f>'JV 063003'!H51</f>
        <v>0</v>
      </c>
      <c r="P51" s="13">
        <f>'JV 063004'!H51</f>
        <v>-2487</v>
      </c>
      <c r="Q51" s="13">
        <f>'JV 063005'!H51</f>
        <v>-7454</v>
      </c>
      <c r="R51" s="13">
        <f>'JV 063006'!H51</f>
        <v>-597</v>
      </c>
      <c r="S51" s="13">
        <f>'JV 063007'!H51</f>
        <v>0</v>
      </c>
      <c r="T51" s="13">
        <f>'El 064001'!H51</f>
        <v>0</v>
      </c>
      <c r="U51" s="13">
        <f>'EH 066011'!H51</f>
        <v>-150</v>
      </c>
      <c r="V51" s="13">
        <f>MT066013!H51</f>
        <v>0</v>
      </c>
    </row>
    <row r="52" spans="1:22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0">
        <f t="shared" si="0"/>
        <v>-14831.91</v>
      </c>
      <c r="G52" s="38">
        <f>adm066051!H52</f>
        <v>-14831.91</v>
      </c>
      <c r="H52" s="38">
        <f>'gaas 04320'!H52</f>
        <v>0</v>
      </c>
      <c r="I52" s="38">
        <f>'Küte 043601'!H54</f>
        <v>0</v>
      </c>
      <c r="J52" s="38">
        <f>'küte 043602'!H52</f>
        <v>0</v>
      </c>
      <c r="K52" s="38">
        <f>'HV 052001'!H52</f>
        <v>0</v>
      </c>
      <c r="L52" s="13">
        <f>'HV 052003'!H52</f>
        <v>0</v>
      </c>
      <c r="M52" s="13">
        <f>'HV 052004'!H52</f>
        <v>0</v>
      </c>
      <c r="N52" s="13">
        <f>'JV 063001'!H52</f>
        <v>0</v>
      </c>
      <c r="O52" s="13">
        <f>'JV 063003'!H52</f>
        <v>0</v>
      </c>
      <c r="P52" s="13">
        <f>'JV 063004'!H52</f>
        <v>0</v>
      </c>
      <c r="Q52" s="13">
        <f>'JV 063005'!H52</f>
        <v>0</v>
      </c>
      <c r="R52" s="13">
        <f>'JV 063006'!H52</f>
        <v>0</v>
      </c>
      <c r="S52" s="13">
        <f>'JV 063007'!H52</f>
        <v>0</v>
      </c>
      <c r="T52" s="13">
        <f>'El 064001'!H52</f>
        <v>0</v>
      </c>
      <c r="U52" s="13">
        <f>'EH 066011'!H52</f>
        <v>0</v>
      </c>
      <c r="V52" s="13">
        <f>MT066013!H52</f>
        <v>0</v>
      </c>
    </row>
    <row r="53" spans="1:22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0">
        <f t="shared" si="0"/>
        <v>-21651</v>
      </c>
      <c r="G53" s="38">
        <f>adm066051!H53</f>
        <v>0</v>
      </c>
      <c r="H53" s="38">
        <f>'gaas 04320'!H53</f>
        <v>0</v>
      </c>
      <c r="I53" s="38">
        <f>'Küte 043601'!H55</f>
        <v>-14266</v>
      </c>
      <c r="J53" s="38">
        <f>'küte 043602'!H53</f>
        <v>-7385</v>
      </c>
      <c r="K53" s="38">
        <f>'HV 052001'!H53</f>
        <v>0</v>
      </c>
      <c r="L53" s="13">
        <f>'HV 052003'!H53</f>
        <v>0</v>
      </c>
      <c r="M53" s="13">
        <f>'HV 052004'!H53</f>
        <v>0</v>
      </c>
      <c r="N53" s="13">
        <f>'JV 063001'!H53</f>
        <v>0</v>
      </c>
      <c r="O53" s="13">
        <f>'JV 063003'!H53</f>
        <v>0</v>
      </c>
      <c r="P53" s="13">
        <f>'JV 063004'!H53</f>
        <v>0</v>
      </c>
      <c r="Q53" s="13">
        <f>'JV 063005'!H53</f>
        <v>0</v>
      </c>
      <c r="R53" s="13">
        <f>'JV 063006'!H53</f>
        <v>0</v>
      </c>
      <c r="S53" s="13">
        <f>'JV 063007'!H53</f>
        <v>0</v>
      </c>
      <c r="T53" s="13">
        <f>'El 064001'!H53</f>
        <v>0</v>
      </c>
      <c r="U53" s="13">
        <f>'EH 066011'!H53</f>
        <v>0</v>
      </c>
      <c r="V53" s="13">
        <f>MT066013!H53</f>
        <v>0</v>
      </c>
    </row>
    <row r="54" spans="1:22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7">
        <f t="shared" si="0"/>
        <v>0</v>
      </c>
      <c r="G54" s="40">
        <f>adm066051!H54</f>
        <v>0</v>
      </c>
      <c r="H54" s="40">
        <f>'gaas 04320'!H54</f>
        <v>0</v>
      </c>
      <c r="I54" s="40">
        <f>'Küte 043601'!H56</f>
        <v>0</v>
      </c>
      <c r="J54" s="40">
        <f>'küte 043602'!H54</f>
        <v>0</v>
      </c>
      <c r="K54" s="40">
        <f>'HV 052001'!H54</f>
        <v>0</v>
      </c>
      <c r="L54" s="4">
        <f>'HV 052003'!H54</f>
        <v>0</v>
      </c>
      <c r="M54" s="4">
        <f>'HV 052004'!H54</f>
        <v>0</v>
      </c>
      <c r="N54" s="4">
        <f>'JV 063001'!H54</f>
        <v>0</v>
      </c>
      <c r="O54" s="4">
        <f>'JV 063003'!H54</f>
        <v>0</v>
      </c>
      <c r="P54" s="4">
        <f>'JV 063004'!H54</f>
        <v>0</v>
      </c>
      <c r="Q54" s="4">
        <f>'JV 063005'!H54</f>
        <v>0</v>
      </c>
      <c r="R54" s="4">
        <f>'JV 063006'!H54</f>
        <v>0</v>
      </c>
      <c r="S54" s="4">
        <f>'JV 063007'!H54</f>
        <v>0</v>
      </c>
      <c r="T54" s="4">
        <f>'El 064001'!H54</f>
        <v>0</v>
      </c>
      <c r="U54" s="4">
        <f>'EH 066011'!H54</f>
        <v>0</v>
      </c>
      <c r="V54" s="4">
        <f>MT066013!H54</f>
        <v>0</v>
      </c>
    </row>
    <row r="55" spans="1:22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7">
        <f t="shared" si="0"/>
        <v>-268987.83</v>
      </c>
      <c r="G55" s="40">
        <f>adm066051!H55</f>
        <v>-38007.88</v>
      </c>
      <c r="H55" s="40">
        <f>'gaas 04320'!H55</f>
        <v>0</v>
      </c>
      <c r="I55" s="40">
        <f>'Küte 043601'!H57</f>
        <v>-69088.54000000001</v>
      </c>
      <c r="J55" s="40">
        <f>'küte 043602'!H55</f>
        <v>-23735.55</v>
      </c>
      <c r="K55" s="40">
        <f>'HV 052001'!H55</f>
        <v>-55529.89</v>
      </c>
      <c r="L55" s="4">
        <f>'HV 052003'!H55</f>
        <v>-44243.07</v>
      </c>
      <c r="M55" s="4">
        <f>'HV 052004'!H55</f>
        <v>-34.95</v>
      </c>
      <c r="N55" s="4">
        <f>'JV 063001'!H55</f>
        <v>-485.41</v>
      </c>
      <c r="O55" s="4">
        <f>'JV 063003'!H55</f>
        <v>0</v>
      </c>
      <c r="P55" s="4">
        <f>'JV 063004'!H55</f>
        <v>-34.95</v>
      </c>
      <c r="Q55" s="4">
        <f>'JV 063005'!H55</f>
        <v>-104.87</v>
      </c>
      <c r="R55" s="4">
        <f>'JV 063006'!H55</f>
        <v>-34.95</v>
      </c>
      <c r="S55" s="4">
        <f>'JV 063007'!H55</f>
        <v>-37655.409999999996</v>
      </c>
      <c r="T55" s="4">
        <f>'El 064001'!H55</f>
        <v>0</v>
      </c>
      <c r="U55" s="4">
        <f>'EH 066011'!H55</f>
        <v>-32.36</v>
      </c>
      <c r="V55" s="4">
        <f>MT066013!H55</f>
        <v>0</v>
      </c>
    </row>
    <row r="56" spans="1:22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7">
        <f t="shared" si="0"/>
        <v>-268693.55000000005</v>
      </c>
      <c r="G56" s="40">
        <f>adm066051!H56</f>
        <v>-37709.97</v>
      </c>
      <c r="H56" s="40">
        <f>'gaas 04320'!H56</f>
        <v>0</v>
      </c>
      <c r="I56" s="40">
        <f>'Küte 043601'!H58</f>
        <v>-69088.54000000001</v>
      </c>
      <c r="J56" s="40">
        <f>'küte 043602'!H56</f>
        <v>-23735.55</v>
      </c>
      <c r="K56" s="40">
        <f>'HV 052001'!H56</f>
        <v>-55529.89</v>
      </c>
      <c r="L56" s="4">
        <f>'HV 052003'!H56</f>
        <v>-44243.07</v>
      </c>
      <c r="M56" s="4">
        <f>'HV 052004'!H56</f>
        <v>-34.95</v>
      </c>
      <c r="N56" s="4">
        <f>'JV 063001'!H56</f>
        <v>-489.04</v>
      </c>
      <c r="O56" s="4">
        <f>'JV 063003'!H56</f>
        <v>0</v>
      </c>
      <c r="P56" s="4">
        <f>'JV 063004'!H56</f>
        <v>-34.95</v>
      </c>
      <c r="Q56" s="4">
        <f>'JV 063005'!H56</f>
        <v>-104.87</v>
      </c>
      <c r="R56" s="4">
        <f>'JV 063006'!H56</f>
        <v>-34.95</v>
      </c>
      <c r="S56" s="4">
        <f>'JV 063007'!H56</f>
        <v>-37655.409999999996</v>
      </c>
      <c r="T56" s="4">
        <f>'El 064001'!H56</f>
        <v>0</v>
      </c>
      <c r="U56" s="4">
        <f>'EH 066011'!H56</f>
        <v>-32.36</v>
      </c>
      <c r="V56" s="4">
        <f>MT066013!H56</f>
        <v>0</v>
      </c>
    </row>
    <row r="57" spans="1:22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7">
        <f t="shared" si="0"/>
        <v>-297.91</v>
      </c>
      <c r="G57" s="40">
        <f>adm066051!H57</f>
        <v>-297.91</v>
      </c>
      <c r="H57" s="40">
        <f>'gaas 04320'!H57</f>
        <v>0</v>
      </c>
      <c r="I57" s="40">
        <f>'Küte 043601'!H59</f>
        <v>0</v>
      </c>
      <c r="J57" s="40">
        <f>'küte 043602'!H57</f>
        <v>0</v>
      </c>
      <c r="K57" s="40">
        <f>'HV 052001'!H57</f>
        <v>0</v>
      </c>
      <c r="L57" s="4">
        <f>'HV 052003'!H57</f>
        <v>0</v>
      </c>
      <c r="M57" s="4">
        <f>'HV 052004'!H57</f>
        <v>0</v>
      </c>
      <c r="N57" s="4">
        <f>'JV 063001'!H57</f>
        <v>0</v>
      </c>
      <c r="O57" s="4">
        <f>'JV 063003'!H57</f>
        <v>0</v>
      </c>
      <c r="P57" s="4">
        <f>'JV 063004'!H57</f>
        <v>0</v>
      </c>
      <c r="Q57" s="4">
        <f>'JV 063005'!H57</f>
        <v>0</v>
      </c>
      <c r="R57" s="4">
        <f>'JV 063006'!H57</f>
        <v>0</v>
      </c>
      <c r="S57" s="4">
        <f>'JV 063007'!H57</f>
        <v>0</v>
      </c>
      <c r="T57" s="4">
        <f>'El 064001'!H57</f>
        <v>0</v>
      </c>
      <c r="U57" s="4">
        <f>'EH 066011'!H57</f>
        <v>0</v>
      </c>
      <c r="V57" s="4">
        <f>MT066013!H57</f>
        <v>0</v>
      </c>
    </row>
    <row r="58" spans="1:22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7">
        <f t="shared" si="0"/>
        <v>0</v>
      </c>
      <c r="G58" s="40">
        <f>adm066051!H58</f>
        <v>0</v>
      </c>
      <c r="H58" s="40">
        <f>'gaas 04320'!H58</f>
        <v>0</v>
      </c>
      <c r="I58" s="40">
        <f>'Küte 043601'!H60</f>
        <v>0</v>
      </c>
      <c r="J58" s="40">
        <f>'küte 043602'!H58</f>
        <v>0</v>
      </c>
      <c r="K58" s="40">
        <f>'HV 052001'!H58</f>
        <v>0</v>
      </c>
      <c r="L58" s="4">
        <f>'HV 052003'!H58</f>
        <v>0</v>
      </c>
      <c r="M58" s="4">
        <f>'HV 052004'!H58</f>
        <v>0</v>
      </c>
      <c r="N58" s="4">
        <f>'JV 063001'!H58</f>
        <v>0</v>
      </c>
      <c r="O58" s="4">
        <f>'JV 063003'!H58</f>
        <v>0</v>
      </c>
      <c r="P58" s="4">
        <f>'JV 063004'!H58</f>
        <v>0</v>
      </c>
      <c r="Q58" s="4">
        <f>'JV 063005'!H58</f>
        <v>0</v>
      </c>
      <c r="R58" s="4">
        <f>'JV 063006'!H58</f>
        <v>0</v>
      </c>
      <c r="S58" s="4">
        <f>'JV 063007'!H58</f>
        <v>0</v>
      </c>
      <c r="T58" s="4">
        <f>'El 064001'!H58</f>
        <v>0</v>
      </c>
      <c r="U58" s="4">
        <f>'EH 066011'!H58</f>
        <v>0</v>
      </c>
      <c r="V58" s="4">
        <f>MT066013!H58</f>
        <v>0</v>
      </c>
    </row>
    <row r="59" spans="1:22" ht="12.75">
      <c r="A59" s="16"/>
      <c r="B59" s="16"/>
      <c r="C59" s="16"/>
      <c r="D59" s="16"/>
      <c r="E59" s="17" t="s">
        <v>65</v>
      </c>
      <c r="F59" s="7">
        <f t="shared" si="0"/>
        <v>236003.8419999999</v>
      </c>
      <c r="G59" s="43">
        <f>adm066051!H59</f>
        <v>-1483907.49</v>
      </c>
      <c r="H59" s="43">
        <f>'gaas 04320'!H59</f>
        <v>152.01</v>
      </c>
      <c r="I59" s="43">
        <f>'Küte 043601'!H61</f>
        <v>459577.36840000004</v>
      </c>
      <c r="J59" s="43">
        <f>'küte 043602'!H59</f>
        <v>192601.2</v>
      </c>
      <c r="K59" s="43">
        <f>'HV 052001'!H59</f>
        <v>883853.6799999999</v>
      </c>
      <c r="L59" s="7">
        <f>'HV 052003'!H59</f>
        <v>-123097.20999999999</v>
      </c>
      <c r="M59" s="7">
        <f>'HV 052004'!H59</f>
        <v>16675.110000000004</v>
      </c>
      <c r="N59" s="7">
        <f>'JV 063001'!H59</f>
        <v>-83356.90000000002</v>
      </c>
      <c r="O59" s="7">
        <f>'JV 063003'!H59</f>
        <v>5</v>
      </c>
      <c r="P59" s="7">
        <f>'JV 063004'!H59</f>
        <v>-6855.8200000000015</v>
      </c>
      <c r="Q59" s="7">
        <f>'JV 063005'!H59</f>
        <v>-14076.426400000002</v>
      </c>
      <c r="R59" s="7">
        <f>'JV 063006'!H59</f>
        <v>2937.5099999999993</v>
      </c>
      <c r="S59" s="7">
        <f>'JV 063007'!H59</f>
        <v>-64882.67999999999</v>
      </c>
      <c r="T59" s="7">
        <f>'El 064001'!H59</f>
        <v>305.88</v>
      </c>
      <c r="U59" s="7">
        <f>'EH 066011'!H59</f>
        <v>438720.73999999993</v>
      </c>
      <c r="V59" s="7">
        <f>MT066013!H59</f>
        <v>17351.870000000003</v>
      </c>
    </row>
    <row r="60" spans="1:22" s="78" customFormat="1" ht="12.75">
      <c r="A60" s="74"/>
      <c r="B60" s="74"/>
      <c r="C60" s="74"/>
      <c r="D60" s="74"/>
      <c r="E60" s="75" t="s">
        <v>242</v>
      </c>
      <c r="F60" s="76">
        <f>F3/((F15+F18+F42)*-1)</f>
        <v>1.0222040667073946</v>
      </c>
      <c r="G60" s="77">
        <f>G3/((G15+G18+G42)*-1)</f>
        <v>0.00890109720419751</v>
      </c>
      <c r="H60" s="77">
        <f aca="true" t="shared" si="1" ref="H60:V60">H3/((H15+H18+H42)*-1)</f>
        <v>1.0351294388441328</v>
      </c>
      <c r="I60" s="77">
        <f t="shared" si="1"/>
        <v>1.1541705009437788</v>
      </c>
      <c r="J60" s="77">
        <f t="shared" si="1"/>
        <v>1.082030236207788</v>
      </c>
      <c r="K60" s="77">
        <f t="shared" si="1"/>
        <v>1.4376524114401392</v>
      </c>
      <c r="L60" s="77">
        <f t="shared" si="1"/>
        <v>0.7673375975843387</v>
      </c>
      <c r="M60" s="77">
        <f t="shared" si="1"/>
        <v>2.0025202621986526</v>
      </c>
      <c r="N60" s="77">
        <f t="shared" si="1"/>
        <v>0.8686299134885722</v>
      </c>
      <c r="O60" s="77">
        <f t="shared" si="1"/>
        <v>1.0018552875695732</v>
      </c>
      <c r="P60" s="77">
        <f t="shared" si="1"/>
        <v>0.8375194040957751</v>
      </c>
      <c r="Q60" s="77">
        <f t="shared" si="1"/>
        <v>0.9205804991997908</v>
      </c>
      <c r="R60" s="77">
        <f t="shared" si="1"/>
        <v>1.2766084668739537</v>
      </c>
      <c r="S60" s="77">
        <f t="shared" si="1"/>
        <v>0.7158743400197319</v>
      </c>
      <c r="T60" s="77">
        <f t="shared" si="1"/>
        <v>1.178453496377023</v>
      </c>
      <c r="U60" s="77">
        <f t="shared" si="1"/>
        <v>6.467723635152698</v>
      </c>
      <c r="V60" s="77">
        <f t="shared" si="1"/>
        <v>1.3122637691231946</v>
      </c>
    </row>
    <row r="61" spans="1:22" s="78" customFormat="1" ht="12.75">
      <c r="A61" s="74"/>
      <c r="B61" s="74"/>
      <c r="C61" s="74"/>
      <c r="D61" s="74"/>
      <c r="E61" s="75"/>
      <c r="F61" s="76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</row>
    <row r="62" spans="1:22" s="81" customFormat="1" ht="12.75">
      <c r="A62" s="80"/>
      <c r="B62" s="80"/>
      <c r="C62" s="80"/>
      <c r="D62" s="80"/>
      <c r="E62" s="82" t="s">
        <v>244</v>
      </c>
      <c r="F62" s="83">
        <f>SUM(G62:V62)</f>
        <v>100.00000000000003</v>
      </c>
      <c r="G62" s="84">
        <f>(100*G4)/$F$4</f>
        <v>0</v>
      </c>
      <c r="H62" s="84">
        <f>(100*H4)/$F$4</f>
        <v>0.050634185738634305</v>
      </c>
      <c r="I62" s="84">
        <f aca="true" t="shared" si="2" ref="I62:V62">(100*I4)/$F$4</f>
        <v>33.216781074651266</v>
      </c>
      <c r="J62" s="84">
        <f t="shared" si="2"/>
        <v>26.23224884466573</v>
      </c>
      <c r="K62" s="84">
        <f t="shared" si="2"/>
        <v>25.439408033085797</v>
      </c>
      <c r="L62" s="84">
        <f t="shared" si="2"/>
        <v>3.4820727603862114</v>
      </c>
      <c r="M62" s="84">
        <f t="shared" si="2"/>
        <v>0.3765309598558104</v>
      </c>
      <c r="N62" s="84">
        <f t="shared" si="2"/>
        <v>6.2305742271133155</v>
      </c>
      <c r="O62" s="84">
        <f t="shared" si="2"/>
        <v>0</v>
      </c>
      <c r="P62" s="84">
        <f t="shared" si="2"/>
        <v>0.377634045004639</v>
      </c>
      <c r="Q62" s="84">
        <f t="shared" si="2"/>
        <v>1.844485543548692</v>
      </c>
      <c r="R62" s="84">
        <f t="shared" si="2"/>
        <v>0.15325682654188852</v>
      </c>
      <c r="S62" s="84">
        <f t="shared" si="2"/>
        <v>0.5099244536700772</v>
      </c>
      <c r="T62" s="84">
        <f t="shared" si="2"/>
        <v>0.022834246930979532</v>
      </c>
      <c r="U62" s="84">
        <f t="shared" si="2"/>
        <v>1.2392981906837324</v>
      </c>
      <c r="V62" s="84">
        <f t="shared" si="2"/>
        <v>0.8243166081232399</v>
      </c>
    </row>
    <row r="63" spans="1:22" ht="12.75" hidden="1">
      <c r="A63" s="62"/>
      <c r="B63" s="62"/>
      <c r="C63" s="62"/>
      <c r="D63" s="62"/>
      <c r="E63" s="17"/>
      <c r="F63" s="7"/>
      <c r="G63" s="43"/>
      <c r="H63" s="43"/>
      <c r="I63" s="43"/>
      <c r="J63" s="43"/>
      <c r="K63" s="43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68" customFormat="1" ht="25.5">
      <c r="A64" s="86"/>
      <c r="B64" s="86"/>
      <c r="C64" s="86"/>
      <c r="D64" s="86"/>
      <c r="E64" s="87" t="s">
        <v>243</v>
      </c>
      <c r="F64" s="88"/>
      <c r="G64" s="42">
        <v>1461079.12</v>
      </c>
      <c r="H64" s="42">
        <f>($G$59*H62)/100</f>
        <v>-751.3644746761063</v>
      </c>
      <c r="I64" s="42">
        <f aca="true" t="shared" si="3" ref="I64:V64">($G$59*I62)/100</f>
        <v>-492906.3023036526</v>
      </c>
      <c r="J64" s="42">
        <f t="shared" si="3"/>
        <v>-389262.30540143326</v>
      </c>
      <c r="K64" s="42">
        <f t="shared" si="3"/>
        <v>-377497.2812146218</v>
      </c>
      <c r="L64" s="42">
        <f t="shared" si="3"/>
        <v>-51670.73849862075</v>
      </c>
      <c r="M64" s="42">
        <f t="shared" si="3"/>
        <v>-5587.371115469265</v>
      </c>
      <c r="N64" s="42">
        <f t="shared" si="3"/>
        <v>-92455.95762614411</v>
      </c>
      <c r="O64" s="42">
        <f t="shared" si="3"/>
        <v>0</v>
      </c>
      <c r="P64" s="42">
        <f t="shared" si="3"/>
        <v>-5603.739878613809</v>
      </c>
      <c r="Q64" s="42">
        <f t="shared" si="3"/>
        <v>-27370.459132686254</v>
      </c>
      <c r="R64" s="42">
        <f t="shared" si="3"/>
        <v>-2274.1895279913915</v>
      </c>
      <c r="S64" s="42">
        <f t="shared" si="3"/>
        <v>-7566.807161351856</v>
      </c>
      <c r="T64" s="42">
        <f t="shared" si="3"/>
        <v>-338.8391004939004</v>
      </c>
      <c r="U64" s="42">
        <f t="shared" si="3"/>
        <v>-18390.038674990385</v>
      </c>
      <c r="V64" s="42">
        <f t="shared" si="3"/>
        <v>-12232.095889254706</v>
      </c>
    </row>
    <row r="65" spans="1:22" ht="12.75" hidden="1">
      <c r="A65" s="62"/>
      <c r="B65" s="62"/>
      <c r="C65" s="62"/>
      <c r="D65" s="62"/>
      <c r="E65" s="85"/>
      <c r="F65" s="8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s="69" customFormat="1" ht="25.5">
      <c r="A66" s="21"/>
      <c r="B66" s="21"/>
      <c r="C66" s="21"/>
      <c r="D66" s="21"/>
      <c r="E66" s="89" t="s">
        <v>241</v>
      </c>
      <c r="F66" s="7">
        <f>SUM(G66:V66)</f>
        <v>213175.47199999986</v>
      </c>
      <c r="G66" s="43">
        <f>G59+G64</f>
        <v>-22828.36999999988</v>
      </c>
      <c r="H66" s="43">
        <f aca="true" t="shared" si="4" ref="H66:V66">H59+H64</f>
        <v>-599.3544746761063</v>
      </c>
      <c r="I66" s="43">
        <f t="shared" si="4"/>
        <v>-33328.93390365259</v>
      </c>
      <c r="J66" s="43">
        <f t="shared" si="4"/>
        <v>-196661.10540143325</v>
      </c>
      <c r="K66" s="43">
        <f t="shared" si="4"/>
        <v>506356.39878537814</v>
      </c>
      <c r="L66" s="43">
        <f t="shared" si="4"/>
        <v>-174767.94849862074</v>
      </c>
      <c r="M66" s="43">
        <f t="shared" si="4"/>
        <v>11087.73888453074</v>
      </c>
      <c r="N66" s="43">
        <f t="shared" si="4"/>
        <v>-175812.85762614413</v>
      </c>
      <c r="O66" s="43">
        <f t="shared" si="4"/>
        <v>5</v>
      </c>
      <c r="P66" s="43">
        <f t="shared" si="4"/>
        <v>-12459.55987861381</v>
      </c>
      <c r="Q66" s="43">
        <f t="shared" si="4"/>
        <v>-41446.885532686254</v>
      </c>
      <c r="R66" s="43">
        <f t="shared" si="4"/>
        <v>663.3204720086078</v>
      </c>
      <c r="S66" s="43">
        <f t="shared" si="4"/>
        <v>-72449.48716135185</v>
      </c>
      <c r="T66" s="43">
        <f t="shared" si="4"/>
        <v>-32.959100493900394</v>
      </c>
      <c r="U66" s="43">
        <f t="shared" si="4"/>
        <v>420330.7013250096</v>
      </c>
      <c r="V66" s="43">
        <f t="shared" si="4"/>
        <v>5119.774110745297</v>
      </c>
    </row>
    <row r="67" spans="1:22" s="91" customFormat="1" ht="12.75">
      <c r="A67" s="76"/>
      <c r="B67" s="76"/>
      <c r="C67" s="76"/>
      <c r="D67" s="76"/>
      <c r="E67" s="79" t="s">
        <v>245</v>
      </c>
      <c r="F67" s="90">
        <f>F3/((F15+F18+F42+F64)*-1)</f>
        <v>1.0222040667073946</v>
      </c>
      <c r="G67" s="90">
        <v>0</v>
      </c>
      <c r="H67" s="90">
        <f>H3/((H15+H18+H42+H64)*-1)</f>
        <v>0.8819820918412538</v>
      </c>
      <c r="I67" s="90">
        <f aca="true" t="shared" si="5" ref="I67:V67">I3/((I15+I18+I42+I64)*-1)</f>
        <v>0.9904058326223808</v>
      </c>
      <c r="J67" s="90">
        <f t="shared" si="5"/>
        <v>0.9281522343183847</v>
      </c>
      <c r="K67" s="90">
        <f t="shared" si="5"/>
        <v>1.2112431827860752</v>
      </c>
      <c r="L67" s="90">
        <f t="shared" si="5"/>
        <v>0.6990658880552654</v>
      </c>
      <c r="M67" s="90">
        <f t="shared" si="5"/>
        <v>1.4989855488758024</v>
      </c>
      <c r="N67" s="90">
        <f t="shared" si="5"/>
        <v>0.7581585156362319</v>
      </c>
      <c r="O67" s="90">
        <f t="shared" si="5"/>
        <v>1.0018552875695732</v>
      </c>
      <c r="P67" s="90">
        <f>P3/((P15+P18+P42+P64)*-1)</f>
        <v>0.7393312436503076</v>
      </c>
      <c r="Q67" s="90">
        <f t="shared" si="5"/>
        <v>0.7974365790181283</v>
      </c>
      <c r="R67" s="90">
        <f t="shared" si="5"/>
        <v>1.05144440029462</v>
      </c>
      <c r="S67" s="90">
        <f t="shared" si="5"/>
        <v>0.6929142372151481</v>
      </c>
      <c r="T67" s="90">
        <f t="shared" si="5"/>
        <v>0.9839450947754952</v>
      </c>
      <c r="U67" s="90">
        <f t="shared" si="5"/>
        <v>5.2617648457551445</v>
      </c>
      <c r="V67" s="90">
        <f t="shared" si="5"/>
        <v>1.0755127968290183</v>
      </c>
    </row>
    <row r="68" spans="1:22" s="54" customFormat="1" ht="51">
      <c r="A68" s="52"/>
      <c r="B68" s="52"/>
      <c r="C68" s="52"/>
      <c r="D68" s="52"/>
      <c r="E68" s="53"/>
      <c r="F68" s="3" t="s">
        <v>266</v>
      </c>
      <c r="G68" s="66" t="s">
        <v>178</v>
      </c>
      <c r="H68" s="66" t="s">
        <v>179</v>
      </c>
      <c r="I68" s="66" t="s">
        <v>180</v>
      </c>
      <c r="J68" s="66" t="s">
        <v>181</v>
      </c>
      <c r="K68" s="66" t="s">
        <v>182</v>
      </c>
      <c r="L68" s="63" t="s">
        <v>183</v>
      </c>
      <c r="M68" s="63" t="s">
        <v>184</v>
      </c>
      <c r="N68" s="63" t="s">
        <v>185</v>
      </c>
      <c r="O68" s="63" t="s">
        <v>186</v>
      </c>
      <c r="P68" s="63" t="s">
        <v>187</v>
      </c>
      <c r="Q68" s="63" t="s">
        <v>188</v>
      </c>
      <c r="R68" s="63" t="s">
        <v>189</v>
      </c>
      <c r="S68" s="63" t="s">
        <v>190</v>
      </c>
      <c r="T68" s="63" t="s">
        <v>191</v>
      </c>
      <c r="U68" s="63" t="s">
        <v>192</v>
      </c>
      <c r="V68" s="63" t="s">
        <v>193</v>
      </c>
    </row>
    <row r="69" spans="5:7" ht="12.75">
      <c r="E69" s="19"/>
      <c r="G69" s="44"/>
    </row>
    <row r="70" spans="5:7" ht="12.75">
      <c r="E70" s="19"/>
      <c r="G70" s="44"/>
    </row>
    <row r="71" spans="5:7" ht="12.75">
      <c r="E71" s="19"/>
      <c r="G71" s="44"/>
    </row>
    <row r="72" spans="5:7" ht="12.75">
      <c r="E72" s="19"/>
      <c r="G72" s="44"/>
    </row>
    <row r="73" spans="5:7" ht="12.75">
      <c r="E73" s="19"/>
      <c r="G73" s="44"/>
    </row>
    <row r="74" spans="5:7" ht="12.75">
      <c r="E74" s="19"/>
      <c r="G74" s="44"/>
    </row>
    <row r="75" spans="5:7" ht="12.75">
      <c r="E75" s="19"/>
      <c r="G75" s="44"/>
    </row>
    <row r="76" spans="5:7" ht="12.75">
      <c r="E76" s="19"/>
      <c r="G76" s="44"/>
    </row>
    <row r="77" spans="5:7" ht="12.75">
      <c r="E77" s="19"/>
      <c r="G77" s="44"/>
    </row>
    <row r="78" spans="5:7" ht="12.75">
      <c r="E78" s="19"/>
      <c r="G78" s="44"/>
    </row>
    <row r="79" spans="5:7" ht="12.75">
      <c r="E79" s="19"/>
      <c r="G79" s="44"/>
    </row>
    <row r="80" spans="5:7" ht="12.75">
      <c r="E80" s="19"/>
      <c r="G80" s="44"/>
    </row>
    <row r="81" spans="5:7" ht="12.75">
      <c r="E81" s="19"/>
      <c r="G81" s="44"/>
    </row>
    <row r="82" spans="1:22" s="54" customFormat="1" ht="51">
      <c r="A82" s="52"/>
      <c r="B82" s="52"/>
      <c r="C82" s="52"/>
      <c r="D82" s="52"/>
      <c r="E82" s="53"/>
      <c r="F82" s="3" t="s">
        <v>2</v>
      </c>
      <c r="G82" s="66" t="s">
        <v>178</v>
      </c>
      <c r="H82" s="66" t="s">
        <v>179</v>
      </c>
      <c r="I82" s="66" t="s">
        <v>180</v>
      </c>
      <c r="J82" s="66" t="s">
        <v>181</v>
      </c>
      <c r="K82" s="66" t="s">
        <v>182</v>
      </c>
      <c r="L82" s="63" t="s">
        <v>183</v>
      </c>
      <c r="M82" s="63" t="s">
        <v>184</v>
      </c>
      <c r="N82" s="63" t="s">
        <v>185</v>
      </c>
      <c r="O82" s="63" t="s">
        <v>186</v>
      </c>
      <c r="P82" s="63" t="s">
        <v>187</v>
      </c>
      <c r="Q82" s="63" t="s">
        <v>188</v>
      </c>
      <c r="R82" s="63" t="s">
        <v>189</v>
      </c>
      <c r="S82" s="63" t="s">
        <v>190</v>
      </c>
      <c r="T82" s="63" t="s">
        <v>191</v>
      </c>
      <c r="U82" s="63" t="s">
        <v>192</v>
      </c>
      <c r="V82" s="63" t="s">
        <v>193</v>
      </c>
    </row>
    <row r="83" spans="5:22" ht="12.75">
      <c r="E83" s="18" t="s">
        <v>68</v>
      </c>
      <c r="F83" s="21">
        <f>SUM(G83:V83)</f>
        <v>1659275.64</v>
      </c>
      <c r="G83" s="44">
        <f>adm066051!H62</f>
        <v>778972.25</v>
      </c>
      <c r="H83" s="44">
        <f>'gaas 04320'!H62</f>
        <v>0</v>
      </c>
      <c r="I83" s="44">
        <f>'Küte 043601'!H64</f>
        <v>195524.36</v>
      </c>
      <c r="J83" s="44">
        <f>'küte 043602'!H62</f>
        <v>182389.53</v>
      </c>
      <c r="K83" s="44">
        <f>'HV 052001'!H62</f>
        <v>286197.25</v>
      </c>
      <c r="L83">
        <f>'HV 052003'!H62</f>
        <v>50367.25</v>
      </c>
      <c r="M83">
        <f>'HV 052004'!H62</f>
        <v>3660.55</v>
      </c>
      <c r="N83">
        <f>'JV 063001'!H62</f>
        <v>85496.45</v>
      </c>
      <c r="O83">
        <f>'JV 063003'!H62</f>
        <v>0</v>
      </c>
      <c r="P83">
        <f>'JV 063004'!H62</f>
        <v>3870.8</v>
      </c>
      <c r="Q83">
        <f>'JV 063005'!H62</f>
        <v>38325.94999999999</v>
      </c>
      <c r="R83">
        <f>'JV 063006'!H62</f>
        <v>3658.15</v>
      </c>
      <c r="S83">
        <f>'JV 063007'!H62</f>
        <v>0</v>
      </c>
      <c r="T83">
        <f>'El 064001'!H62</f>
        <v>0</v>
      </c>
      <c r="U83">
        <f>'EH 066011'!H62</f>
        <v>12572.3</v>
      </c>
      <c r="V83">
        <f>MT066013!H62</f>
        <v>18240.8</v>
      </c>
    </row>
    <row r="84" spans="1:22" s="25" customFormat="1" ht="11.25" customHeight="1">
      <c r="A84" s="22"/>
      <c r="B84" s="22"/>
      <c r="C84" s="22"/>
      <c r="D84" s="22"/>
      <c r="E84" s="22" t="s">
        <v>69</v>
      </c>
      <c r="F84" s="23">
        <f>SUM(G84:V84)</f>
        <v>1405393.85</v>
      </c>
      <c r="G84" s="46">
        <f>adm066051!H63</f>
        <v>674623.1</v>
      </c>
      <c r="H84" s="46">
        <f>'gaas 04320'!H63</f>
        <v>0</v>
      </c>
      <c r="I84" s="46">
        <f>'Küte 043601'!H65</f>
        <v>146695.35</v>
      </c>
      <c r="J84" s="46">
        <f>'küte 043602'!H63</f>
        <v>151286.5</v>
      </c>
      <c r="K84" s="46">
        <f>'HV 052001'!H63</f>
        <v>254356.3</v>
      </c>
      <c r="L84" s="24">
        <f>'HV 052003'!H63</f>
        <v>40430.149999999994</v>
      </c>
      <c r="M84" s="24">
        <f>'HV 052004'!H63</f>
        <v>3449.9</v>
      </c>
      <c r="N84" s="24">
        <f>'JV 063001'!H63</f>
        <v>69191.49999999999</v>
      </c>
      <c r="O84" s="24">
        <f>'JV 063003'!H63</f>
        <v>0</v>
      </c>
      <c r="P84" s="24">
        <f>'JV 063004'!H63</f>
        <v>2953.3</v>
      </c>
      <c r="Q84" s="24">
        <f>'JV 063005'!H63</f>
        <v>30516.05</v>
      </c>
      <c r="R84" s="24">
        <f>'JV 063006'!H63</f>
        <v>2760</v>
      </c>
      <c r="S84" s="24">
        <f>'JV 063007'!H63</f>
        <v>0</v>
      </c>
      <c r="T84" s="24">
        <f>'El 064001'!H63</f>
        <v>0</v>
      </c>
      <c r="U84" s="24">
        <f>'EH 066011'!H63</f>
        <v>12088.35</v>
      </c>
      <c r="V84" s="24">
        <f>MT066013!H63</f>
        <v>17043.35</v>
      </c>
    </row>
    <row r="85" spans="1:22" s="25" customFormat="1" ht="11.25" customHeight="1">
      <c r="A85" s="22"/>
      <c r="B85" s="22"/>
      <c r="C85" s="22"/>
      <c r="D85" s="22"/>
      <c r="E85" s="26" t="s">
        <v>70</v>
      </c>
      <c r="F85" s="23">
        <f aca="true" t="shared" si="6" ref="F85:F98">SUM(G85:V85)</f>
        <v>39937.94</v>
      </c>
      <c r="G85" s="47">
        <f>adm066051!H64</f>
        <v>7000</v>
      </c>
      <c r="H85" s="47">
        <f>'gaas 04320'!H64</f>
        <v>0</v>
      </c>
      <c r="I85" s="47">
        <f>'Küte 043601'!H66</f>
        <v>27085.440000000002</v>
      </c>
      <c r="J85" s="47">
        <f>'küte 043602'!H64</f>
        <v>4292.5</v>
      </c>
      <c r="K85" s="47">
        <f>'HV 052001'!H64</f>
        <v>0</v>
      </c>
      <c r="L85" s="27">
        <f>'HV 052003'!H64</f>
        <v>780</v>
      </c>
      <c r="M85" s="27">
        <f>'HV 052004'!H64</f>
        <v>0</v>
      </c>
      <c r="N85" s="27">
        <f>'JV 063001'!H64</f>
        <v>0</v>
      </c>
      <c r="O85" s="27">
        <f>'JV 063003'!H64</f>
        <v>0</v>
      </c>
      <c r="P85" s="27">
        <f>'JV 063004'!H64</f>
        <v>0</v>
      </c>
      <c r="Q85" s="27">
        <f>'JV 063005'!H64</f>
        <v>780</v>
      </c>
      <c r="R85" s="27">
        <f>'JV 063006'!H64</f>
        <v>0</v>
      </c>
      <c r="S85" s="27">
        <f>'JV 063007'!H64</f>
        <v>0</v>
      </c>
      <c r="T85" s="27">
        <f>'El 064001'!H64</f>
        <v>0</v>
      </c>
      <c r="U85" s="27">
        <f>'EH 066011'!H64</f>
        <v>0</v>
      </c>
      <c r="V85" s="27">
        <f>MT066013!H64</f>
        <v>0</v>
      </c>
    </row>
    <row r="86" spans="1:22" s="25" customFormat="1" ht="11.25">
      <c r="A86" s="22"/>
      <c r="B86" s="22"/>
      <c r="C86" s="22"/>
      <c r="D86" s="22"/>
      <c r="E86" s="26" t="s">
        <v>71</v>
      </c>
      <c r="F86" s="23">
        <f t="shared" si="6"/>
        <v>135128.54999999996</v>
      </c>
      <c r="G86" s="47">
        <f>adm066051!H65</f>
        <v>67949.29999999999</v>
      </c>
      <c r="H86" s="47">
        <f>'gaas 04320'!H65</f>
        <v>0</v>
      </c>
      <c r="I86" s="47">
        <f>'Küte 043601'!H67</f>
        <v>10185.2</v>
      </c>
      <c r="J86" s="47">
        <f>'küte 043602'!H65</f>
        <v>11942.65</v>
      </c>
      <c r="K86" s="47">
        <f>'HV 052001'!H65</f>
        <v>23027.699999999997</v>
      </c>
      <c r="L86" s="27">
        <f>'HV 052003'!H65</f>
        <v>5124</v>
      </c>
      <c r="M86" s="27">
        <f>'HV 052004'!H65</f>
        <v>139.25</v>
      </c>
      <c r="N86" s="27">
        <f>'JV 063001'!H65</f>
        <v>12258</v>
      </c>
      <c r="O86" s="27">
        <f>'JV 063003'!H65</f>
        <v>0</v>
      </c>
      <c r="P86" s="27">
        <f>'JV 063004'!H65</f>
        <v>156.2</v>
      </c>
      <c r="Q86" s="27">
        <f>'JV 063005'!H65</f>
        <v>2768.1</v>
      </c>
      <c r="R86" s="27">
        <f>'JV 063006'!H65</f>
        <v>136.85</v>
      </c>
      <c r="S86" s="27">
        <f>'JV 063007'!H65</f>
        <v>0</v>
      </c>
      <c r="T86" s="27">
        <f>'El 064001'!H65</f>
        <v>0</v>
      </c>
      <c r="U86" s="27">
        <f>'EH 066011'!H65</f>
        <v>385.25</v>
      </c>
      <c r="V86" s="27">
        <f>MT066013!H65</f>
        <v>1056.05</v>
      </c>
    </row>
    <row r="87" spans="1:22" s="25" customFormat="1" ht="11.25">
      <c r="A87" s="22"/>
      <c r="B87" s="22"/>
      <c r="C87" s="22"/>
      <c r="D87" s="22"/>
      <c r="E87" s="26" t="s">
        <v>115</v>
      </c>
      <c r="F87" s="23">
        <f t="shared" si="6"/>
        <v>28929.600000000002</v>
      </c>
      <c r="G87" s="47">
        <f>adm066051!H66</f>
        <v>0</v>
      </c>
      <c r="H87" s="47">
        <f>'gaas 04320'!H66</f>
        <v>0</v>
      </c>
      <c r="I87" s="47">
        <f>'Küte 043601'!H68</f>
        <v>5961.95</v>
      </c>
      <c r="J87" s="47">
        <f>'küte 043602'!H66</f>
        <v>8948.45</v>
      </c>
      <c r="K87" s="47">
        <f>'HV 052001'!H66</f>
        <v>2085.75</v>
      </c>
      <c r="L87" s="27">
        <f>'HV 052003'!H66</f>
        <v>4033.1000000000004</v>
      </c>
      <c r="M87" s="27">
        <f>'HV 052004'!H66</f>
        <v>71.4</v>
      </c>
      <c r="N87" s="27">
        <f>'JV 063001'!H66</f>
        <v>1804.45</v>
      </c>
      <c r="O87" s="27">
        <f>'JV 063003'!H66</f>
        <v>0</v>
      </c>
      <c r="P87" s="27">
        <f>'JV 063004'!H66</f>
        <v>761.3</v>
      </c>
      <c r="Q87" s="27">
        <f>'JV 063005'!H66</f>
        <v>4261.8</v>
      </c>
      <c r="R87" s="27">
        <f>'JV 063006'!H66</f>
        <v>761.3</v>
      </c>
      <c r="S87" s="27">
        <f>'JV 063007'!H66</f>
        <v>0</v>
      </c>
      <c r="T87" s="27">
        <f>'El 064001'!H66</f>
        <v>0</v>
      </c>
      <c r="U87" s="27">
        <f>'EH 066011'!H66</f>
        <v>98.7</v>
      </c>
      <c r="V87" s="27">
        <f>MT066013!H66</f>
        <v>141.4</v>
      </c>
    </row>
    <row r="88" spans="1:22" s="25" customFormat="1" ht="11.25">
      <c r="A88" s="22"/>
      <c r="B88" s="22"/>
      <c r="C88" s="22"/>
      <c r="D88" s="22"/>
      <c r="E88" s="26"/>
      <c r="F88" s="23">
        <f t="shared" si="6"/>
        <v>29399.85</v>
      </c>
      <c r="G88" s="47">
        <f>adm066051!H67</f>
        <v>29399.85</v>
      </c>
      <c r="H88" s="47">
        <f>'gaas 04320'!H67</f>
        <v>0</v>
      </c>
      <c r="I88" s="47">
        <f>'Küte 043601'!H69</f>
        <v>0</v>
      </c>
      <c r="J88" s="47">
        <f>'küte 043602'!H67</f>
        <v>0</v>
      </c>
      <c r="K88" s="47">
        <f>'HV 052001'!H67</f>
        <v>0</v>
      </c>
      <c r="L88" s="27">
        <f>'HV 052003'!H67</f>
        <v>0</v>
      </c>
      <c r="M88" s="27">
        <f>'HV 052004'!H67</f>
        <v>0</v>
      </c>
      <c r="N88" s="27">
        <f>'JV 063001'!H67</f>
        <v>0</v>
      </c>
      <c r="O88" s="27">
        <f>'JV 063003'!H67</f>
        <v>0</v>
      </c>
      <c r="P88" s="27">
        <f>'JV 063004'!H67</f>
        <v>0</v>
      </c>
      <c r="Q88" s="27">
        <f>'JV 063005'!H67</f>
        <v>0</v>
      </c>
      <c r="R88" s="27">
        <f>'JV 063006'!H67</f>
        <v>0</v>
      </c>
      <c r="S88" s="27">
        <f>'JV 063007'!H67</f>
        <v>0</v>
      </c>
      <c r="T88" s="27">
        <f>'El 064001'!H67</f>
        <v>0</v>
      </c>
      <c r="U88" s="27">
        <f>'EH 066011'!H67</f>
        <v>0</v>
      </c>
      <c r="V88" s="27">
        <f>MT066013!H67</f>
        <v>0</v>
      </c>
    </row>
    <row r="89" spans="1:22" s="25" customFormat="1" ht="11.25">
      <c r="A89" s="22"/>
      <c r="B89" s="22"/>
      <c r="C89" s="22"/>
      <c r="D89" s="22"/>
      <c r="E89" s="26"/>
      <c r="F89" s="23">
        <f t="shared" si="6"/>
        <v>0</v>
      </c>
      <c r="G89" s="47">
        <f>adm066051!H68</f>
        <v>0</v>
      </c>
      <c r="H89" s="47">
        <f>'gaas 04320'!H68</f>
        <v>0</v>
      </c>
      <c r="I89" s="47">
        <f>'Küte 043601'!H70</f>
        <v>0</v>
      </c>
      <c r="J89" s="47">
        <f>'küte 043602'!H68</f>
        <v>0</v>
      </c>
      <c r="K89" s="47">
        <f>'HV 052001'!H68</f>
        <v>0</v>
      </c>
      <c r="L89" s="27">
        <f>'HV 052003'!H68</f>
        <v>0</v>
      </c>
      <c r="M89" s="27">
        <f>'HV 052004'!H68</f>
        <v>0</v>
      </c>
      <c r="N89" s="27">
        <f>'JV 063001'!H68</f>
        <v>0</v>
      </c>
      <c r="O89" s="27">
        <f>'JV 063003'!H68</f>
        <v>0</v>
      </c>
      <c r="P89" s="27">
        <f>'JV 063004'!H68</f>
        <v>0</v>
      </c>
      <c r="Q89" s="27">
        <f>'JV 063005'!H68</f>
        <v>0</v>
      </c>
      <c r="R89" s="27">
        <f>'JV 063006'!H68</f>
        <v>0</v>
      </c>
      <c r="S89" s="27">
        <f>'JV 063007'!H68</f>
        <v>0</v>
      </c>
      <c r="T89" s="27">
        <f>'El 064001'!H68</f>
        <v>0</v>
      </c>
      <c r="U89" s="27">
        <f>'EH 066011'!H68</f>
        <v>0</v>
      </c>
      <c r="V89" s="27">
        <f>MT066013!H68</f>
        <v>0</v>
      </c>
    </row>
    <row r="90" spans="1:22" s="25" customFormat="1" ht="11.25">
      <c r="A90" s="22"/>
      <c r="B90" s="22"/>
      <c r="C90" s="22"/>
      <c r="D90" s="22"/>
      <c r="E90" s="26" t="s">
        <v>72</v>
      </c>
      <c r="F90" s="23">
        <f t="shared" si="6"/>
        <v>20485.85</v>
      </c>
      <c r="G90" s="47">
        <f>adm066051!H69</f>
        <v>0</v>
      </c>
      <c r="H90" s="47">
        <f>'gaas 04320'!H69</f>
        <v>0</v>
      </c>
      <c r="I90" s="47">
        <f>'Küte 043601'!H71</f>
        <v>5596.42</v>
      </c>
      <c r="J90" s="47">
        <f>'küte 043602'!H69</f>
        <v>5919.43</v>
      </c>
      <c r="K90" s="47">
        <f>'HV 052001'!H69</f>
        <v>6727.5</v>
      </c>
      <c r="L90" s="27">
        <f>'HV 052003'!H69</f>
        <v>0</v>
      </c>
      <c r="M90" s="27">
        <f>'HV 052004'!H69</f>
        <v>0</v>
      </c>
      <c r="N90" s="27">
        <f>'JV 063001'!H69</f>
        <v>2242.5</v>
      </c>
      <c r="O90" s="27">
        <f>'JV 063003'!H69</f>
        <v>0</v>
      </c>
      <c r="P90" s="27">
        <f>'JV 063004'!H69</f>
        <v>0</v>
      </c>
      <c r="Q90" s="27">
        <f>'JV 063005'!H69</f>
        <v>0</v>
      </c>
      <c r="R90" s="27">
        <f>'JV 063006'!H69</f>
        <v>0</v>
      </c>
      <c r="S90" s="27">
        <f>'JV 063007'!H69</f>
        <v>0</v>
      </c>
      <c r="T90" s="27">
        <f>'El 064001'!H69</f>
        <v>0</v>
      </c>
      <c r="U90" s="27">
        <f>'EH 066011'!H69</f>
        <v>0</v>
      </c>
      <c r="V90" s="27">
        <f>MT066013!H69</f>
        <v>0</v>
      </c>
    </row>
    <row r="91" spans="1:22" s="25" customFormat="1" ht="12.75">
      <c r="A91" s="22"/>
      <c r="B91" s="22"/>
      <c r="C91" s="22"/>
      <c r="D91" s="22"/>
      <c r="E91" s="26"/>
      <c r="F91" s="21">
        <f t="shared" si="6"/>
        <v>0</v>
      </c>
      <c r="G91" s="47">
        <f>adm066051!H70</f>
        <v>0</v>
      </c>
      <c r="H91" s="47">
        <f>'gaas 04320'!H70</f>
        <v>0</v>
      </c>
      <c r="I91" s="47">
        <f>'Küte 043601'!H72</f>
        <v>0</v>
      </c>
      <c r="J91" s="47">
        <f>'küte 043602'!H70</f>
        <v>0</v>
      </c>
      <c r="K91" s="47">
        <f>'HV 052001'!H70</f>
        <v>0</v>
      </c>
      <c r="L91" s="27">
        <f>'HV 052003'!H70</f>
        <v>0</v>
      </c>
      <c r="M91" s="27">
        <f>'HV 052004'!H70</f>
        <v>0</v>
      </c>
      <c r="N91" s="27">
        <f>'JV 063001'!H70</f>
        <v>0</v>
      </c>
      <c r="O91" s="27">
        <f>'JV 063003'!H70</f>
        <v>0</v>
      </c>
      <c r="P91" s="27">
        <f>'JV 063004'!H70</f>
        <v>0</v>
      </c>
      <c r="Q91" s="27">
        <f>'JV 063005'!H70</f>
        <v>0</v>
      </c>
      <c r="R91" s="27">
        <f>'JV 063006'!H70</f>
        <v>0</v>
      </c>
      <c r="S91" s="27">
        <f>'JV 063007'!H70</f>
        <v>0</v>
      </c>
      <c r="T91" s="27">
        <f>'El 064001'!H70</f>
        <v>0</v>
      </c>
      <c r="U91" s="27">
        <f>'EH 066011'!H70</f>
        <v>0</v>
      </c>
      <c r="V91" s="27">
        <f>MT066013!H70</f>
        <v>0</v>
      </c>
    </row>
    <row r="92" spans="5:22" ht="12.75">
      <c r="E92" s="26"/>
      <c r="F92" s="21">
        <f t="shared" si="6"/>
        <v>0</v>
      </c>
      <c r="G92" s="47">
        <f>adm066051!H71</f>
        <v>0</v>
      </c>
      <c r="H92" s="47">
        <f>'gaas 04320'!H71</f>
        <v>0</v>
      </c>
      <c r="I92" s="47">
        <f>'Küte 043601'!H73</f>
        <v>0</v>
      </c>
      <c r="J92" s="47">
        <f>'küte 043602'!H71</f>
        <v>0</v>
      </c>
      <c r="K92" s="47">
        <f>'HV 052001'!H71</f>
        <v>0</v>
      </c>
      <c r="L92" s="27">
        <f>'HV 052003'!H71</f>
        <v>0</v>
      </c>
      <c r="M92" s="27">
        <f>'HV 052004'!H71</f>
        <v>0</v>
      </c>
      <c r="N92" s="27">
        <f>'JV 063001'!H71</f>
        <v>0</v>
      </c>
      <c r="O92" s="27">
        <f>'JV 063003'!H71</f>
        <v>0</v>
      </c>
      <c r="P92" s="27">
        <f>'JV 063004'!H71</f>
        <v>0</v>
      </c>
      <c r="Q92" s="27">
        <f>'JV 063005'!H71</f>
        <v>0</v>
      </c>
      <c r="R92" s="27">
        <f>'JV 063006'!H71</f>
        <v>0</v>
      </c>
      <c r="S92" s="27">
        <f>'JV 063007'!H71</f>
        <v>0</v>
      </c>
      <c r="T92" s="27">
        <f>'El 064001'!H71</f>
        <v>0</v>
      </c>
      <c r="U92" s="27">
        <f>'EH 066011'!H71</f>
        <v>0</v>
      </c>
      <c r="V92" s="27">
        <f>MT066013!H71</f>
        <v>0</v>
      </c>
    </row>
    <row r="93" spans="5:22" ht="12.75">
      <c r="E93" s="28" t="s">
        <v>73</v>
      </c>
      <c r="F93" s="21">
        <f t="shared" si="6"/>
        <v>545570.9526999999</v>
      </c>
      <c r="G93" s="24">
        <f>adm066051!H72</f>
        <v>263146.0245</v>
      </c>
      <c r="H93" s="24">
        <f>'gaas 04320'!H72</f>
        <v>0</v>
      </c>
      <c r="I93" s="24">
        <f>'Küte 043601'!H74</f>
        <v>64334.2432</v>
      </c>
      <c r="J93" s="24">
        <f>'küte 043602'!H72</f>
        <v>60191</v>
      </c>
      <c r="K93" s="24">
        <f>'HV 052001'!H72</f>
        <v>86698.52799999999</v>
      </c>
      <c r="L93" s="24">
        <f>'HV 052003'!H72</f>
        <v>16583.805500000002</v>
      </c>
      <c r="M93" s="24">
        <f>'HV 052004'!H72</f>
        <v>1208.029</v>
      </c>
      <c r="N93" s="24">
        <f>'JV 063001'!H72</f>
        <v>28126.2915</v>
      </c>
      <c r="O93" s="24">
        <f>'JV 063003'!H72</f>
        <v>0</v>
      </c>
      <c r="P93" s="24">
        <f>'JV 063004'!H72</f>
        <v>1278.029</v>
      </c>
      <c r="Q93" s="24">
        <f>'JV 063005'!H72</f>
        <v>12647.4425</v>
      </c>
      <c r="R93" s="24">
        <f>'JV 063006'!H72</f>
        <v>1207.029</v>
      </c>
      <c r="S93" s="24">
        <f>'JV 063007'!H72</f>
        <v>0</v>
      </c>
      <c r="T93" s="24">
        <f>'El 064001'!H72</f>
        <v>0</v>
      </c>
      <c r="U93" s="24">
        <f>'EH 066011'!H72</f>
        <v>4143.279500000001</v>
      </c>
      <c r="V93" s="24">
        <f>MT066013!H72</f>
        <v>6007.251</v>
      </c>
    </row>
    <row r="94" spans="5:22" ht="12.75">
      <c r="E94" s="28" t="s">
        <v>74</v>
      </c>
      <c r="F94" s="21">
        <f t="shared" si="6"/>
        <v>17955.88066</v>
      </c>
      <c r="G94" s="24">
        <f>adm066051!H73</f>
        <v>5979.2071</v>
      </c>
      <c r="H94" s="24">
        <f>'gaas 04320'!H73</f>
        <v>0</v>
      </c>
      <c r="I94" s="24">
        <f>'Küte 043601'!H75</f>
        <v>2703.63456</v>
      </c>
      <c r="J94" s="24">
        <f>'küte 043602'!H73</f>
        <v>2331</v>
      </c>
      <c r="K94" s="24">
        <f>'HV 052001'!H73</f>
        <v>3935.0384</v>
      </c>
      <c r="L94" s="24">
        <f>'HV 052003'!H73</f>
        <v>701.3069</v>
      </c>
      <c r="M94" s="24">
        <f>'HV 052004'!H73</f>
        <v>51.298199999999994</v>
      </c>
      <c r="N94" s="24">
        <f>'JV 063001'!H73</f>
        <v>1186.5457</v>
      </c>
      <c r="O94" s="24">
        <f>'JV 063003'!H73</f>
        <v>0</v>
      </c>
      <c r="P94" s="24">
        <f>'JV 063004'!H73</f>
        <v>54.298199999999994</v>
      </c>
      <c r="Q94" s="24">
        <f>'JV 063005'!H73</f>
        <v>536.6914999999999</v>
      </c>
      <c r="R94" s="24">
        <f>'JV 063006'!H73</f>
        <v>51.298199999999994</v>
      </c>
      <c r="S94" s="24">
        <f>'JV 063007'!H73</f>
        <v>0</v>
      </c>
      <c r="T94" s="24">
        <f>'El 064001'!H73</f>
        <v>0</v>
      </c>
      <c r="U94" s="24">
        <f>'EH 066011'!H73</f>
        <v>173.2361</v>
      </c>
      <c r="V94" s="24">
        <f>MT066013!H73</f>
        <v>252.3258</v>
      </c>
    </row>
    <row r="95" spans="6:22" ht="12.75">
      <c r="F95" s="21">
        <f t="shared" si="6"/>
        <v>2222802.47336</v>
      </c>
      <c r="G95" s="24">
        <f>adm066051!H74</f>
        <v>1048097.4815999999</v>
      </c>
      <c r="H95" s="24">
        <f>'gaas 04320'!H74</f>
        <v>0</v>
      </c>
      <c r="I95" s="24">
        <f>'Küte 043601'!H76</f>
        <v>262562.23776</v>
      </c>
      <c r="J95" s="24">
        <f>'küte 043602'!H74</f>
        <v>244911.53</v>
      </c>
      <c r="K95" s="24">
        <f>'HV 052001'!H74</f>
        <v>376830.8164</v>
      </c>
      <c r="L95" s="24">
        <f>'HV 052003'!H74</f>
        <v>67652.3624</v>
      </c>
      <c r="M95" s="24">
        <f>'HV 052004'!H74</f>
        <v>4919.8772</v>
      </c>
      <c r="N95" s="24">
        <f>'JV 063001'!H74</f>
        <v>114809.28719999999</v>
      </c>
      <c r="O95" s="24">
        <f>'JV 063003'!H74</f>
        <v>0</v>
      </c>
      <c r="P95" s="24">
        <f>'JV 063004'!H74</f>
        <v>5203.1272</v>
      </c>
      <c r="Q95" s="24">
        <f>'JV 063005'!H74</f>
        <v>51510.083999999995</v>
      </c>
      <c r="R95" s="24">
        <f>'JV 063006'!H74</f>
        <v>4916.4772</v>
      </c>
      <c r="S95" s="24">
        <f>'JV 063007'!H74</f>
        <v>0</v>
      </c>
      <c r="T95" s="24">
        <f>'El 064001'!H74</f>
        <v>0</v>
      </c>
      <c r="U95" s="24">
        <f>'EH 066011'!H74</f>
        <v>16888.815599999998</v>
      </c>
      <c r="V95" s="24">
        <f>MT066013!H74</f>
        <v>24500.3768</v>
      </c>
    </row>
    <row r="96" ht="12.75">
      <c r="G96" s="44"/>
    </row>
    <row r="97" spans="5:19" ht="12.75">
      <c r="E97" s="18" t="s">
        <v>259</v>
      </c>
      <c r="F97" s="21">
        <f t="shared" si="6"/>
        <v>1645847.3</v>
      </c>
      <c r="G97" s="44"/>
      <c r="I97" s="108">
        <f>'Küte 043601'!H102</f>
        <v>357696.39999999997</v>
      </c>
      <c r="J97" s="108">
        <f>'küte 043602'!H99</f>
        <v>408754.51999999996</v>
      </c>
      <c r="K97" s="108">
        <f>'HV 052001'!H101</f>
        <v>496213.73</v>
      </c>
      <c r="L97" s="69">
        <f>'HV 052003'!H100</f>
        <v>237748.09000000003</v>
      </c>
      <c r="S97" s="69">
        <f>'JV 063007'!H101</f>
        <v>145434.56000000003</v>
      </c>
    </row>
    <row r="98" spans="5:19" ht="12.75">
      <c r="E98" s="56" t="s">
        <v>260</v>
      </c>
      <c r="F98" s="21">
        <f t="shared" si="6"/>
        <v>219884.83000000002</v>
      </c>
      <c r="G98" s="44"/>
      <c r="I98" s="108">
        <f>'Küte 043601'!H103</f>
        <v>65968.53</v>
      </c>
      <c r="J98" s="108">
        <f>'küte 043602'!H100</f>
        <v>23143.15</v>
      </c>
      <c r="K98" s="108">
        <f>'HV 052001'!H102</f>
        <v>51263.2</v>
      </c>
      <c r="L98" s="69">
        <f>'HV 052003'!H101</f>
        <v>43846.95</v>
      </c>
      <c r="S98" s="69">
        <f>'JV 063007'!H102</f>
        <v>35663</v>
      </c>
    </row>
    <row r="99" ht="12.75">
      <c r="G99" s="44"/>
    </row>
    <row r="100" ht="12.75">
      <c r="G100" s="44"/>
    </row>
    <row r="101" ht="12.75">
      <c r="G101" s="44"/>
    </row>
    <row r="102" ht="12.75">
      <c r="G102" s="44"/>
    </row>
    <row r="103" ht="12.75">
      <c r="G103" s="44"/>
    </row>
    <row r="104" ht="12.75">
      <c r="G104" s="44"/>
    </row>
    <row r="105" ht="12.75">
      <c r="G105" s="44"/>
    </row>
    <row r="106" ht="12.75">
      <c r="G106" s="44"/>
    </row>
    <row r="107" ht="12.75">
      <c r="G107" s="44"/>
    </row>
    <row r="108" ht="12.75">
      <c r="G108" s="44"/>
    </row>
    <row r="109" ht="12.75">
      <c r="G109" s="44"/>
    </row>
    <row r="110" ht="12.75">
      <c r="G110" s="44"/>
    </row>
    <row r="111" ht="12.75">
      <c r="G111" s="44"/>
    </row>
    <row r="112" ht="12.75">
      <c r="G112" s="44"/>
    </row>
    <row r="113" ht="12.75">
      <c r="G113" s="44"/>
    </row>
    <row r="114" ht="12.75">
      <c r="G114" s="44"/>
    </row>
    <row r="115" ht="12.75">
      <c r="G115" s="44"/>
    </row>
    <row r="116" ht="12.75">
      <c r="G116" s="44"/>
    </row>
    <row r="117" ht="12.75">
      <c r="G117" s="44"/>
    </row>
    <row r="118" ht="12.75">
      <c r="G118" s="44"/>
    </row>
    <row r="119" ht="12.75">
      <c r="G119" s="44"/>
    </row>
    <row r="120" ht="12.75">
      <c r="G120" s="44"/>
    </row>
    <row r="121" ht="12.75">
      <c r="G121" s="44"/>
    </row>
    <row r="122" ht="12.75">
      <c r="G122" s="44"/>
    </row>
    <row r="123" ht="12.75">
      <c r="G123" s="44"/>
    </row>
    <row r="124" ht="12.75">
      <c r="G124" s="44"/>
    </row>
    <row r="125" ht="12.75">
      <c r="G125" s="44"/>
    </row>
    <row r="126" ht="12.75">
      <c r="G126" s="44"/>
    </row>
    <row r="127" ht="12.75">
      <c r="G127" s="44"/>
    </row>
    <row r="128" ht="12.75">
      <c r="G128" s="44"/>
    </row>
    <row r="129" ht="12.75">
      <c r="G129" s="44"/>
    </row>
    <row r="130" ht="12.75">
      <c r="G130" s="44"/>
    </row>
    <row r="131" ht="12.75">
      <c r="G131" s="44"/>
    </row>
    <row r="132" ht="12.75">
      <c r="G132" s="44"/>
    </row>
    <row r="133" ht="12.75">
      <c r="G133" s="44"/>
    </row>
    <row r="134" ht="12.75">
      <c r="G134" s="44"/>
    </row>
    <row r="135" ht="12.75">
      <c r="G135" s="44"/>
    </row>
    <row r="136" ht="12.75">
      <c r="G136" s="44"/>
    </row>
    <row r="137" ht="12.75">
      <c r="G137" s="44"/>
    </row>
    <row r="138" ht="12.75">
      <c r="G138" s="44"/>
    </row>
    <row r="139" ht="12.75">
      <c r="G139" s="44"/>
    </row>
    <row r="140" ht="12.75">
      <c r="G140" s="44"/>
    </row>
    <row r="141" ht="12.75">
      <c r="G141" s="44"/>
    </row>
    <row r="142" ht="12.75">
      <c r="G142" s="44"/>
    </row>
    <row r="143" ht="12.75">
      <c r="G143" s="44"/>
    </row>
    <row r="144" ht="12.75">
      <c r="G144" s="44"/>
    </row>
    <row r="145" ht="12.75">
      <c r="G145" s="44"/>
    </row>
    <row r="146" ht="12.75">
      <c r="G146" s="44"/>
    </row>
    <row r="147" ht="12.75">
      <c r="G147" s="44"/>
    </row>
    <row r="148" ht="12.75">
      <c r="G148" s="44"/>
    </row>
    <row r="149" ht="12.75">
      <c r="G149" s="44"/>
    </row>
    <row r="150" ht="12.75">
      <c r="G150" s="44"/>
    </row>
    <row r="151" ht="12.75">
      <c r="G151" s="44"/>
    </row>
    <row r="152" ht="12.75">
      <c r="G152" s="44"/>
    </row>
    <row r="153" ht="12.75">
      <c r="G153" s="44"/>
    </row>
    <row r="154" ht="12.75">
      <c r="G154" s="44"/>
    </row>
    <row r="155" ht="12.75">
      <c r="G155" s="44"/>
    </row>
    <row r="156" ht="12.75">
      <c r="G156" s="44"/>
    </row>
    <row r="157" ht="12.75">
      <c r="G157" s="44"/>
    </row>
    <row r="158" ht="12.75">
      <c r="G158" s="44"/>
    </row>
    <row r="159" ht="12.75">
      <c r="G159" s="44"/>
    </row>
    <row r="160" ht="12.75">
      <c r="G160" s="44"/>
    </row>
    <row r="161" ht="12.75">
      <c r="G161" s="44"/>
    </row>
    <row r="162" ht="12.75">
      <c r="G162" s="44"/>
    </row>
    <row r="163" ht="12.75">
      <c r="G163" s="44"/>
    </row>
    <row r="164" ht="12.75">
      <c r="G164" s="44"/>
    </row>
    <row r="165" ht="12.75">
      <c r="G165" s="44"/>
    </row>
    <row r="166" ht="12.75">
      <c r="G166" s="44"/>
    </row>
    <row r="167" ht="12.75">
      <c r="G167" s="44"/>
    </row>
    <row r="168" ht="12.75">
      <c r="G168" s="44"/>
    </row>
    <row r="169" ht="12.75">
      <c r="G169" s="44"/>
    </row>
  </sheetData>
  <sheetProtection/>
  <printOptions/>
  <pageMargins left="0.75" right="0.17" top="0.67" bottom="1" header="0.28" footer="0.5"/>
  <pageSetup fitToHeight="2" horizontalDpi="600" verticalDpi="600" orientation="landscape" paperSize="9" scale="56" r:id="rId3"/>
  <headerFooter alignWithMargins="0">
    <oddHeader>&amp;C&amp;F&amp;A
&amp;R&amp;D</oddHeader>
    <oddFooter>&amp;C&amp;F&amp;T&amp;RKoond tegevusalade lõikes</oddFooter>
  </headerFooter>
  <rowBreaks count="1" manualBreakCount="1">
    <brk id="67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G49">
      <selection activeCell="O90" sqref="O90:P90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108</v>
      </c>
      <c r="O2" s="5" t="s">
        <v>109</v>
      </c>
      <c r="P2" s="5" t="s">
        <v>110</v>
      </c>
      <c r="Q2" s="5" t="s">
        <v>111</v>
      </c>
      <c r="R2" s="5" t="s">
        <v>112</v>
      </c>
      <c r="S2" s="5" t="s">
        <v>113</v>
      </c>
      <c r="T2" s="5" t="s">
        <v>114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0</v>
      </c>
      <c r="G3" s="4">
        <f>G4+G8+G12</f>
        <v>0</v>
      </c>
      <c r="H3" s="7">
        <f>SUM(I3:T3)</f>
        <v>0</v>
      </c>
      <c r="I3" s="40">
        <f>I4+I8+I12</f>
        <v>0</v>
      </c>
      <c r="J3" s="40">
        <f>J4+J8+J12</f>
        <v>0</v>
      </c>
      <c r="K3" s="40">
        <f>K4+K8+K12</f>
        <v>0</v>
      </c>
      <c r="L3" s="40">
        <f>L4+L8+L12</f>
        <v>0</v>
      </c>
      <c r="M3" s="40">
        <f aca="true" t="shared" si="0" ref="M3:T3">M4+M8+M12</f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0</v>
      </c>
      <c r="S3" s="4">
        <f t="shared" si="0"/>
        <v>0</v>
      </c>
      <c r="T3" s="4">
        <f t="shared" si="0"/>
        <v>0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0</v>
      </c>
      <c r="G4" s="4">
        <f>G5</f>
        <v>0</v>
      </c>
      <c r="H4" s="7">
        <f aca="true" t="shared" si="1" ref="H4:H60">SUM(I4:T4)</f>
        <v>0</v>
      </c>
      <c r="I4" s="40">
        <f>I5</f>
        <v>0</v>
      </c>
      <c r="J4" s="40">
        <f>J5</f>
        <v>0</v>
      </c>
      <c r="K4" s="40">
        <f>K5</f>
        <v>0</v>
      </c>
      <c r="L4" s="40">
        <f>L5</f>
        <v>0</v>
      </c>
      <c r="M4" s="40">
        <f aca="true" t="shared" si="2" ref="M4:T4">M5</f>
        <v>0</v>
      </c>
      <c r="N4" s="4">
        <f t="shared" si="2"/>
        <v>0</v>
      </c>
      <c r="O4" s="4">
        <f t="shared" si="2"/>
        <v>0</v>
      </c>
      <c r="P4" s="4">
        <f t="shared" si="2"/>
        <v>0</v>
      </c>
      <c r="Q4" s="4">
        <f t="shared" si="2"/>
        <v>0</v>
      </c>
      <c r="R4" s="4">
        <f t="shared" si="2"/>
        <v>0</v>
      </c>
      <c r="S4" s="4">
        <f t="shared" si="2"/>
        <v>0</v>
      </c>
      <c r="T4" s="4">
        <f t="shared" si="2"/>
        <v>0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0</v>
      </c>
      <c r="G5" s="4">
        <f>G7</f>
        <v>0</v>
      </c>
      <c r="H5" s="7">
        <f t="shared" si="1"/>
        <v>0</v>
      </c>
      <c r="I5" s="40">
        <f>I7</f>
        <v>0</v>
      </c>
      <c r="J5" s="40">
        <f>J7</f>
        <v>0</v>
      </c>
      <c r="K5" s="40">
        <f>K7</f>
        <v>0</v>
      </c>
      <c r="L5" s="40">
        <f>L7</f>
        <v>0</v>
      </c>
      <c r="M5" s="40">
        <f aca="true" t="shared" si="3" ref="M5:T5">M7</f>
        <v>0</v>
      </c>
      <c r="N5" s="4">
        <f t="shared" si="3"/>
        <v>0</v>
      </c>
      <c r="O5" s="4">
        <f t="shared" si="3"/>
        <v>0</v>
      </c>
      <c r="P5" s="4">
        <f t="shared" si="3"/>
        <v>0</v>
      </c>
      <c r="Q5" s="4">
        <f t="shared" si="3"/>
        <v>0</v>
      </c>
      <c r="R5" s="4">
        <f t="shared" si="3"/>
        <v>0</v>
      </c>
      <c r="S5" s="4">
        <f t="shared" si="3"/>
        <v>0</v>
      </c>
      <c r="T5" s="4">
        <f t="shared" si="3"/>
        <v>0</v>
      </c>
    </row>
    <row r="6" spans="1:20" s="11" customFormat="1" ht="11.25">
      <c r="A6" s="8"/>
      <c r="B6" s="8"/>
      <c r="C6" s="8"/>
      <c r="D6" s="8"/>
      <c r="E6" s="8" t="s">
        <v>9</v>
      </c>
      <c r="F6" s="9">
        <v>0</v>
      </c>
      <c r="G6" s="9">
        <v>0</v>
      </c>
      <c r="H6" s="10">
        <f t="shared" si="1"/>
        <v>0</v>
      </c>
      <c r="I6" s="41">
        <f aca="true" t="shared" si="4" ref="I6:T7">I77</f>
        <v>0</v>
      </c>
      <c r="J6" s="41">
        <f t="shared" si="4"/>
        <v>0</v>
      </c>
      <c r="K6" s="41">
        <f t="shared" si="4"/>
        <v>0</v>
      </c>
      <c r="L6" s="41">
        <f t="shared" si="4"/>
        <v>0</v>
      </c>
      <c r="M6" s="41">
        <f t="shared" si="4"/>
        <v>0</v>
      </c>
      <c r="N6" s="9">
        <f t="shared" si="4"/>
        <v>0</v>
      </c>
      <c r="O6" s="9">
        <f t="shared" si="4"/>
        <v>0</v>
      </c>
      <c r="P6" s="9">
        <f t="shared" si="4"/>
        <v>0</v>
      </c>
      <c r="Q6" s="9">
        <f t="shared" si="4"/>
        <v>0</v>
      </c>
      <c r="R6" s="9">
        <f t="shared" si="4"/>
        <v>0</v>
      </c>
      <c r="S6" s="9">
        <f t="shared" si="4"/>
        <v>0</v>
      </c>
      <c r="T6" s="9">
        <f t="shared" si="4"/>
        <v>0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/>
      <c r="G7" s="13"/>
      <c r="H7" s="10">
        <f t="shared" si="1"/>
        <v>0</v>
      </c>
      <c r="I7" s="38">
        <f t="shared" si="4"/>
        <v>0</v>
      </c>
      <c r="J7" s="38">
        <f t="shared" si="4"/>
        <v>0</v>
      </c>
      <c r="K7" s="38">
        <f t="shared" si="4"/>
        <v>0</v>
      </c>
      <c r="L7" s="38">
        <f t="shared" si="4"/>
        <v>0</v>
      </c>
      <c r="M7" s="38">
        <f t="shared" si="4"/>
        <v>0</v>
      </c>
      <c r="N7" s="13">
        <f t="shared" si="4"/>
        <v>0</v>
      </c>
      <c r="O7" s="13">
        <f t="shared" si="4"/>
        <v>0</v>
      </c>
      <c r="P7" s="13">
        <f t="shared" si="4"/>
        <v>0</v>
      </c>
      <c r="Q7" s="13">
        <f t="shared" si="4"/>
        <v>0</v>
      </c>
      <c r="R7" s="13">
        <f t="shared" si="4"/>
        <v>0</v>
      </c>
      <c r="S7" s="13">
        <f t="shared" si="4"/>
        <v>0</v>
      </c>
      <c r="T7" s="13">
        <f t="shared" si="4"/>
        <v>0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5" ref="M8:T8">M9+M11</f>
        <v>0</v>
      </c>
      <c r="N8" s="4">
        <f t="shared" si="5"/>
        <v>0</v>
      </c>
      <c r="O8" s="4">
        <f t="shared" si="5"/>
        <v>0</v>
      </c>
      <c r="P8" s="4">
        <f t="shared" si="5"/>
        <v>0</v>
      </c>
      <c r="Q8" s="4">
        <f t="shared" si="5"/>
        <v>0</v>
      </c>
      <c r="R8" s="4">
        <f t="shared" si="5"/>
        <v>0</v>
      </c>
      <c r="S8" s="4">
        <f t="shared" si="5"/>
        <v>0</v>
      </c>
      <c r="T8" s="4">
        <f t="shared" si="5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0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0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0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8" ref="I15:T16">I16</f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0</v>
      </c>
      <c r="G18" s="4">
        <f>G19+G27</f>
        <v>0</v>
      </c>
      <c r="H18" s="7">
        <f t="shared" si="1"/>
        <v>0</v>
      </c>
      <c r="I18" s="40">
        <f>I19+I27</f>
        <v>0</v>
      </c>
      <c r="J18" s="40">
        <f>J19+J27</f>
        <v>0</v>
      </c>
      <c r="K18" s="40">
        <f>K19+K27</f>
        <v>0</v>
      </c>
      <c r="L18" s="40">
        <f>L19+L27</f>
        <v>0</v>
      </c>
      <c r="M18" s="40">
        <f aca="true" t="shared" si="9" ref="M18:T18">M19+M27</f>
        <v>0</v>
      </c>
      <c r="N18" s="4">
        <f t="shared" si="9"/>
        <v>0</v>
      </c>
      <c r="O18" s="4">
        <f t="shared" si="9"/>
        <v>0</v>
      </c>
      <c r="P18" s="4">
        <f t="shared" si="9"/>
        <v>0</v>
      </c>
      <c r="Q18" s="4">
        <f t="shared" si="9"/>
        <v>0</v>
      </c>
      <c r="R18" s="4">
        <f t="shared" si="9"/>
        <v>0</v>
      </c>
      <c r="S18" s="4">
        <f t="shared" si="9"/>
        <v>0</v>
      </c>
      <c r="T18" s="4">
        <f t="shared" si="9"/>
        <v>0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0</v>
      </c>
      <c r="G19" s="4">
        <f>G20+G26+G23</f>
        <v>0</v>
      </c>
      <c r="H19" s="7">
        <f t="shared" si="1"/>
        <v>0</v>
      </c>
      <c r="I19" s="40">
        <f>I20+I26+I23</f>
        <v>0</v>
      </c>
      <c r="J19" s="40">
        <f>J20+J26+J23</f>
        <v>0</v>
      </c>
      <c r="K19" s="40">
        <f>K20+K26+K23</f>
        <v>0</v>
      </c>
      <c r="L19" s="40">
        <f>L20+L26+L23</f>
        <v>0</v>
      </c>
      <c r="M19" s="40">
        <f aca="true" t="shared" si="10" ref="M19:T19">M20+M26+M23</f>
        <v>0</v>
      </c>
      <c r="N19" s="4">
        <f t="shared" si="10"/>
        <v>0</v>
      </c>
      <c r="O19" s="4">
        <f t="shared" si="10"/>
        <v>0</v>
      </c>
      <c r="P19" s="4">
        <f t="shared" si="10"/>
        <v>0</v>
      </c>
      <c r="Q19" s="4">
        <f t="shared" si="10"/>
        <v>0</v>
      </c>
      <c r="R19" s="4">
        <f t="shared" si="10"/>
        <v>0</v>
      </c>
      <c r="S19" s="4">
        <f t="shared" si="10"/>
        <v>0</v>
      </c>
      <c r="T19" s="4">
        <f t="shared" si="10"/>
        <v>0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0</v>
      </c>
      <c r="G20" s="4">
        <f>SUM(G21:G22)</f>
        <v>0</v>
      </c>
      <c r="H20" s="7">
        <f t="shared" si="1"/>
        <v>0</v>
      </c>
      <c r="I20" s="40">
        <f>SUM(I21:I22)</f>
        <v>0</v>
      </c>
      <c r="J20" s="40">
        <f>SUM(J21:J22)</f>
        <v>0</v>
      </c>
      <c r="K20" s="40">
        <f>SUM(K21:K22)</f>
        <v>0</v>
      </c>
      <c r="L20" s="40">
        <f>SUM(L21:L22)</f>
        <v>0</v>
      </c>
      <c r="M20" s="40">
        <f aca="true" t="shared" si="11" ref="M20:T20">SUM(M21:M22)</f>
        <v>0</v>
      </c>
      <c r="N20" s="4">
        <f t="shared" si="11"/>
        <v>0</v>
      </c>
      <c r="O20" s="4">
        <f t="shared" si="11"/>
        <v>0</v>
      </c>
      <c r="P20" s="4">
        <f t="shared" si="11"/>
        <v>0</v>
      </c>
      <c r="Q20" s="4">
        <f t="shared" si="11"/>
        <v>0</v>
      </c>
      <c r="R20" s="4">
        <f t="shared" si="11"/>
        <v>0</v>
      </c>
      <c r="S20" s="4">
        <f t="shared" si="11"/>
        <v>0</v>
      </c>
      <c r="T20" s="4">
        <f t="shared" si="11"/>
        <v>0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/>
      <c r="G21" s="13"/>
      <c r="H21" s="10">
        <f t="shared" si="1"/>
        <v>0</v>
      </c>
      <c r="I21" s="38"/>
      <c r="J21" s="38"/>
      <c r="K21" s="38"/>
      <c r="L21" s="38"/>
      <c r="M21" s="38"/>
      <c r="N21" s="13"/>
      <c r="O21" s="13"/>
      <c r="P21" s="13"/>
      <c r="Q21" s="13"/>
      <c r="R21" s="13"/>
      <c r="S21" s="13"/>
      <c r="T21" s="13"/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/>
      <c r="G26" s="4"/>
      <c r="H26" s="7">
        <f t="shared" si="1"/>
        <v>0</v>
      </c>
      <c r="I26" s="40"/>
      <c r="J26" s="40"/>
      <c r="K26" s="40"/>
      <c r="L26" s="40"/>
      <c r="M26" s="40"/>
      <c r="N26" s="4"/>
      <c r="O26" s="4"/>
      <c r="P26" s="4"/>
      <c r="Q26" s="4"/>
      <c r="R26" s="4"/>
      <c r="S26" s="4"/>
      <c r="T26" s="4"/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0</v>
      </c>
      <c r="G27" s="4">
        <f>SUM(G28:G41)</f>
        <v>0</v>
      </c>
      <c r="H27" s="7">
        <f t="shared" si="1"/>
        <v>0</v>
      </c>
      <c r="I27" s="40">
        <f>SUM(I28:I41)</f>
        <v>0</v>
      </c>
      <c r="J27" s="40">
        <f aca="true" t="shared" si="13" ref="J27:T27">SUM(J28:J41)</f>
        <v>0</v>
      </c>
      <c r="K27" s="40">
        <f t="shared" si="13"/>
        <v>0</v>
      </c>
      <c r="L27" s="40">
        <f t="shared" si="13"/>
        <v>0</v>
      </c>
      <c r="M27" s="40">
        <f t="shared" si="13"/>
        <v>0</v>
      </c>
      <c r="N27" s="4">
        <f t="shared" si="13"/>
        <v>0</v>
      </c>
      <c r="O27" s="4">
        <f t="shared" si="13"/>
        <v>0</v>
      </c>
      <c r="P27" s="4">
        <f t="shared" si="13"/>
        <v>0</v>
      </c>
      <c r="Q27" s="4">
        <f t="shared" si="13"/>
        <v>0</v>
      </c>
      <c r="R27" s="4">
        <f t="shared" si="13"/>
        <v>0</v>
      </c>
      <c r="S27" s="4">
        <f t="shared" si="13"/>
        <v>0</v>
      </c>
      <c r="T27" s="4">
        <f t="shared" si="13"/>
        <v>0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/>
      <c r="G28" s="13"/>
      <c r="H28" s="10">
        <f t="shared" si="1"/>
        <v>0</v>
      </c>
      <c r="I28" s="38"/>
      <c r="J28" s="38"/>
      <c r="K28" s="38"/>
      <c r="L28" s="38"/>
      <c r="M28" s="38"/>
      <c r="N28" s="13"/>
      <c r="O28" s="13"/>
      <c r="P28" s="13"/>
      <c r="Q28" s="13"/>
      <c r="R28" s="13"/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/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/>
      <c r="G31" s="13"/>
      <c r="H31" s="10">
        <f t="shared" si="1"/>
        <v>0</v>
      </c>
      <c r="I31" s="38"/>
      <c r="J31" s="38"/>
      <c r="K31" s="38"/>
      <c r="L31" s="38"/>
      <c r="M31" s="38"/>
      <c r="N31" s="13"/>
      <c r="O31" s="13"/>
      <c r="P31" s="13"/>
      <c r="Q31" s="13"/>
      <c r="R31" s="13"/>
      <c r="S31" s="13"/>
      <c r="T31" s="13"/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/>
      <c r="G32" s="13"/>
      <c r="H32" s="10">
        <f t="shared" si="1"/>
        <v>0</v>
      </c>
      <c r="I32" s="38"/>
      <c r="J32" s="38"/>
      <c r="K32" s="38"/>
      <c r="L32" s="38"/>
      <c r="M32" s="38"/>
      <c r="N32" s="13"/>
      <c r="O32" s="13"/>
      <c r="P32" s="13"/>
      <c r="Q32" s="13"/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/>
      <c r="G34" s="13"/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/>
      <c r="G35" s="13"/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0</v>
      </c>
      <c r="G38" s="13"/>
      <c r="H38" s="10">
        <f t="shared" si="1"/>
        <v>0</v>
      </c>
      <c r="I38" s="38"/>
      <c r="J38" s="38">
        <f>(J81+J84)*-1</f>
        <v>0</v>
      </c>
      <c r="K38" s="38">
        <f>(K81+K84)*-1</f>
        <v>0</v>
      </c>
      <c r="L38" s="38">
        <f>(L81+L84)*-1</f>
        <v>0</v>
      </c>
      <c r="M38" s="38">
        <f aca="true" t="shared" si="14" ref="M38:T38">(M81+M84)*-1</f>
        <v>0</v>
      </c>
      <c r="N38" s="13">
        <f t="shared" si="14"/>
        <v>0</v>
      </c>
      <c r="O38" s="13">
        <f t="shared" si="14"/>
        <v>0</v>
      </c>
      <c r="P38" s="13">
        <f t="shared" si="14"/>
        <v>0</v>
      </c>
      <c r="Q38" s="13">
        <f t="shared" si="14"/>
        <v>0</v>
      </c>
      <c r="R38" s="13">
        <f t="shared" si="14"/>
        <v>0</v>
      </c>
      <c r="S38" s="13">
        <f t="shared" si="14"/>
        <v>0</v>
      </c>
      <c r="T38" s="13">
        <f t="shared" si="14"/>
        <v>0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0</v>
      </c>
      <c r="G42" s="4">
        <f>G43+G48+G55+G58</f>
        <v>0</v>
      </c>
      <c r="H42" s="4">
        <f t="shared" si="1"/>
        <v>0</v>
      </c>
      <c r="I42" s="40">
        <f aca="true" t="shared" si="15" ref="I42:T42">I43+I48+I55+I58</f>
        <v>0</v>
      </c>
      <c r="J42" s="40">
        <f t="shared" si="15"/>
        <v>0</v>
      </c>
      <c r="K42" s="40">
        <f t="shared" si="15"/>
        <v>0</v>
      </c>
      <c r="L42" s="40">
        <f t="shared" si="15"/>
        <v>0</v>
      </c>
      <c r="M42" s="40">
        <f t="shared" si="15"/>
        <v>0</v>
      </c>
      <c r="N42" s="4">
        <f t="shared" si="15"/>
        <v>0</v>
      </c>
      <c r="O42" s="4">
        <f t="shared" si="15"/>
        <v>0</v>
      </c>
      <c r="P42" s="4">
        <f t="shared" si="15"/>
        <v>0</v>
      </c>
      <c r="Q42" s="4">
        <f t="shared" si="15"/>
        <v>0</v>
      </c>
      <c r="R42" s="4">
        <f>R43+R48+R55+R58</f>
        <v>0</v>
      </c>
      <c r="S42" s="4">
        <f t="shared" si="15"/>
        <v>0</v>
      </c>
      <c r="T42" s="4">
        <f t="shared" si="15"/>
        <v>0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0</v>
      </c>
      <c r="G43" s="4">
        <f>G44+G46+G47</f>
        <v>0</v>
      </c>
      <c r="H43" s="7">
        <f t="shared" si="1"/>
        <v>0</v>
      </c>
      <c r="I43" s="40">
        <f aca="true" t="shared" si="16" ref="I43:T43">I44+I46+I47</f>
        <v>0</v>
      </c>
      <c r="J43" s="40">
        <f t="shared" si="16"/>
        <v>0</v>
      </c>
      <c r="K43" s="40">
        <f t="shared" si="16"/>
        <v>0</v>
      </c>
      <c r="L43" s="40">
        <f t="shared" si="16"/>
        <v>0</v>
      </c>
      <c r="M43" s="40">
        <f t="shared" si="16"/>
        <v>0</v>
      </c>
      <c r="N43" s="4">
        <f t="shared" si="16"/>
        <v>0</v>
      </c>
      <c r="O43" s="4">
        <f t="shared" si="16"/>
        <v>0</v>
      </c>
      <c r="P43" s="4">
        <f t="shared" si="16"/>
        <v>0</v>
      </c>
      <c r="Q43" s="4">
        <f t="shared" si="16"/>
        <v>0</v>
      </c>
      <c r="R43" s="4">
        <f t="shared" si="16"/>
        <v>0</v>
      </c>
      <c r="S43" s="4">
        <f t="shared" si="16"/>
        <v>0</v>
      </c>
      <c r="T43" s="4">
        <f t="shared" si="16"/>
        <v>0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0</v>
      </c>
      <c r="G44" s="4">
        <f>G45</f>
        <v>0</v>
      </c>
      <c r="H44" s="7">
        <f t="shared" si="1"/>
        <v>0</v>
      </c>
      <c r="I44" s="40">
        <f>I45</f>
        <v>0</v>
      </c>
      <c r="J44" s="40">
        <f>J45</f>
        <v>0</v>
      </c>
      <c r="K44" s="40">
        <f>K45</f>
        <v>0</v>
      </c>
      <c r="L44" s="40">
        <f>L45</f>
        <v>0</v>
      </c>
      <c r="M44" s="40">
        <f aca="true" t="shared" si="17" ref="M44:T44">M45</f>
        <v>0</v>
      </c>
      <c r="N44" s="4">
        <f t="shared" si="17"/>
        <v>0</v>
      </c>
      <c r="O44" s="4">
        <f t="shared" si="17"/>
        <v>0</v>
      </c>
      <c r="P44" s="4">
        <f t="shared" si="17"/>
        <v>0</v>
      </c>
      <c r="Q44" s="4">
        <f t="shared" si="17"/>
        <v>0</v>
      </c>
      <c r="R44" s="4">
        <f t="shared" si="17"/>
        <v>0</v>
      </c>
      <c r="S44" s="4">
        <f t="shared" si="17"/>
        <v>0</v>
      </c>
      <c r="T44" s="4">
        <f t="shared" si="17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/>
      <c r="G45" s="13"/>
      <c r="H45" s="10">
        <f t="shared" si="1"/>
        <v>0</v>
      </c>
      <c r="I45" s="38"/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0</v>
      </c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0</v>
      </c>
      <c r="G48" s="4">
        <f>G54+G49</f>
        <v>0</v>
      </c>
      <c r="H48" s="7">
        <f t="shared" si="1"/>
        <v>0</v>
      </c>
      <c r="I48" s="40">
        <f>I54+I49</f>
        <v>0</v>
      </c>
      <c r="J48" s="40">
        <f>J54+J49</f>
        <v>0</v>
      </c>
      <c r="K48" s="40">
        <f>K54+K49</f>
        <v>0</v>
      </c>
      <c r="L48" s="40">
        <f>L54+L49</f>
        <v>0</v>
      </c>
      <c r="M48" s="40">
        <f aca="true" t="shared" si="18" ref="M48:T48">M54+M49</f>
        <v>0</v>
      </c>
      <c r="N48" s="4">
        <f t="shared" si="18"/>
        <v>0</v>
      </c>
      <c r="O48" s="4">
        <f t="shared" si="18"/>
        <v>0</v>
      </c>
      <c r="P48" s="4">
        <f t="shared" si="18"/>
        <v>0</v>
      </c>
      <c r="Q48" s="4">
        <f t="shared" si="18"/>
        <v>0</v>
      </c>
      <c r="R48" s="4">
        <f t="shared" si="18"/>
        <v>0</v>
      </c>
      <c r="S48" s="4">
        <f t="shared" si="18"/>
        <v>0</v>
      </c>
      <c r="T48" s="4">
        <f t="shared" si="18"/>
        <v>0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0</v>
      </c>
      <c r="G49" s="4">
        <f>SUM(G50:G53)</f>
        <v>0</v>
      </c>
      <c r="H49" s="7">
        <f t="shared" si="1"/>
        <v>0</v>
      </c>
      <c r="I49" s="40">
        <f>SUM(I50:I53)</f>
        <v>0</v>
      </c>
      <c r="J49" s="40">
        <f>SUM(J50:J53)</f>
        <v>0</v>
      </c>
      <c r="K49" s="40">
        <f>SUM(K50:K53)</f>
        <v>0</v>
      </c>
      <c r="L49" s="40">
        <f>SUM(L50:L53)</f>
        <v>0</v>
      </c>
      <c r="M49" s="40">
        <f aca="true" t="shared" si="19" ref="M49:T49">SUM(M50:M53)</f>
        <v>0</v>
      </c>
      <c r="N49" s="4">
        <f t="shared" si="19"/>
        <v>0</v>
      </c>
      <c r="O49" s="4">
        <f t="shared" si="19"/>
        <v>0</v>
      </c>
      <c r="P49" s="4">
        <f t="shared" si="19"/>
        <v>0</v>
      </c>
      <c r="Q49" s="4">
        <f t="shared" si="19"/>
        <v>0</v>
      </c>
      <c r="R49" s="4">
        <f t="shared" si="19"/>
        <v>0</v>
      </c>
      <c r="S49" s="4">
        <f t="shared" si="19"/>
        <v>0</v>
      </c>
      <c r="T49" s="4">
        <f t="shared" si="19"/>
        <v>0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/>
      <c r="G50" s="13"/>
      <c r="H50" s="10">
        <f t="shared" si="1"/>
        <v>0</v>
      </c>
      <c r="I50" s="38"/>
      <c r="J50" s="38"/>
      <c r="K50" s="38"/>
      <c r="L50" s="38"/>
      <c r="M50" s="38"/>
      <c r="N50" s="13"/>
      <c r="O50" s="13"/>
      <c r="P50" s="13"/>
      <c r="Q50" s="13"/>
      <c r="R50" s="13"/>
      <c r="S50" s="13"/>
      <c r="T50" s="13"/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/>
      <c r="H51" s="10">
        <f t="shared" si="1"/>
        <v>0</v>
      </c>
      <c r="I51" s="38"/>
      <c r="J51" s="38"/>
      <c r="K51" s="38"/>
      <c r="L51" s="38"/>
      <c r="M51" s="38"/>
      <c r="N51" s="13"/>
      <c r="O51" s="13"/>
      <c r="P51" s="13"/>
      <c r="Q51" s="13"/>
      <c r="R51" s="13"/>
      <c r="S51" s="13"/>
      <c r="T51" s="13"/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0</v>
      </c>
      <c r="H55" s="7">
        <f t="shared" si="1"/>
        <v>0</v>
      </c>
      <c r="I55" s="40">
        <f>I57+I56</f>
        <v>0</v>
      </c>
      <c r="J55" s="40">
        <f>J57+J56</f>
        <v>0</v>
      </c>
      <c r="K55" s="40">
        <f>K57+K56</f>
        <v>0</v>
      </c>
      <c r="L55" s="40">
        <f>L57+L56</f>
        <v>0</v>
      </c>
      <c r="M55" s="40">
        <f aca="true" t="shared" si="20" ref="M55:T55">M57+M56</f>
        <v>0</v>
      </c>
      <c r="N55" s="4">
        <f t="shared" si="20"/>
        <v>0</v>
      </c>
      <c r="O55" s="4">
        <f t="shared" si="20"/>
        <v>0</v>
      </c>
      <c r="P55" s="4">
        <f t="shared" si="20"/>
        <v>0</v>
      </c>
      <c r="Q55" s="4">
        <f t="shared" si="20"/>
        <v>0</v>
      </c>
      <c r="R55" s="4">
        <f t="shared" si="20"/>
        <v>0</v>
      </c>
      <c r="S55" s="4">
        <f t="shared" si="20"/>
        <v>0</v>
      </c>
      <c r="T55" s="4">
        <f t="shared" si="20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/>
      <c r="H56" s="7">
        <f t="shared" si="1"/>
        <v>0</v>
      </c>
      <c r="I56" s="40"/>
      <c r="J56" s="40"/>
      <c r="K56" s="40"/>
      <c r="L56" s="40"/>
      <c r="M56" s="40"/>
      <c r="N56" s="4"/>
      <c r="O56" s="4"/>
      <c r="P56" s="4"/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0</v>
      </c>
      <c r="G59" s="7">
        <f>G3+G15+G18+G42</f>
        <v>0</v>
      </c>
      <c r="H59" s="7">
        <f t="shared" si="1"/>
        <v>0</v>
      </c>
      <c r="I59" s="43">
        <f>I3+I15+I18+I42</f>
        <v>0</v>
      </c>
      <c r="J59" s="43">
        <f>J3+J15+J18+J42</f>
        <v>0</v>
      </c>
      <c r="K59" s="43">
        <f>K3+K15+K18+K42</f>
        <v>0</v>
      </c>
      <c r="L59" s="43">
        <f>L3+L15+L18+L42</f>
        <v>0</v>
      </c>
      <c r="M59" s="43">
        <f aca="true" t="shared" si="21" ref="M59:T59">M3+M15+M18+M42</f>
        <v>0</v>
      </c>
      <c r="N59" s="7">
        <f t="shared" si="21"/>
        <v>0</v>
      </c>
      <c r="O59" s="7">
        <f t="shared" si="21"/>
        <v>0</v>
      </c>
      <c r="P59" s="7">
        <f t="shared" si="21"/>
        <v>0</v>
      </c>
      <c r="Q59" s="7">
        <f t="shared" si="21"/>
        <v>0</v>
      </c>
      <c r="R59" s="7">
        <f t="shared" si="21"/>
        <v>0</v>
      </c>
      <c r="S59" s="7">
        <f t="shared" si="21"/>
        <v>0</v>
      </c>
      <c r="T59" s="7">
        <f t="shared" si="21"/>
        <v>0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108</v>
      </c>
      <c r="O61" s="5" t="s">
        <v>109</v>
      </c>
      <c r="P61" s="5" t="s">
        <v>110</v>
      </c>
      <c r="Q61" s="5" t="s">
        <v>111</v>
      </c>
      <c r="R61" s="5" t="s">
        <v>112</v>
      </c>
      <c r="S61" s="5" t="s">
        <v>113</v>
      </c>
      <c r="T61" s="5" t="s">
        <v>114</v>
      </c>
    </row>
    <row r="62" spans="5:20" ht="12.75">
      <c r="E62" s="18" t="s">
        <v>68</v>
      </c>
      <c r="F62" s="112"/>
      <c r="G62" s="112"/>
      <c r="H62" s="21">
        <f>SUM(I62:T62)</f>
        <v>0</v>
      </c>
      <c r="I62" s="44">
        <f>SUM(I63:I71)</f>
        <v>0</v>
      </c>
      <c r="J62" s="44">
        <f>SUM(J63:J71)</f>
        <v>0</v>
      </c>
      <c r="K62" s="44">
        <f>SUM(K63:K71)</f>
        <v>0</v>
      </c>
      <c r="L62" s="44">
        <f>SUM(L63:L71)</f>
        <v>0</v>
      </c>
      <c r="M62" s="44">
        <f aca="true" t="shared" si="22" ref="M62:T62">SUM(M63:M71)</f>
        <v>0</v>
      </c>
      <c r="N62">
        <f t="shared" si="22"/>
        <v>0</v>
      </c>
      <c r="O62">
        <f t="shared" si="22"/>
        <v>0</v>
      </c>
      <c r="P62">
        <f t="shared" si="22"/>
        <v>0</v>
      </c>
      <c r="Q62">
        <f t="shared" si="22"/>
        <v>0</v>
      </c>
      <c r="R62">
        <f t="shared" si="22"/>
        <v>0</v>
      </c>
      <c r="S62">
        <f t="shared" si="22"/>
        <v>0</v>
      </c>
      <c r="T62">
        <f t="shared" si="22"/>
        <v>0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0</v>
      </c>
      <c r="I63" s="46"/>
      <c r="J63" s="46"/>
      <c r="K63" s="46"/>
      <c r="L63" s="46"/>
      <c r="M63" s="46"/>
      <c r="N63" s="24"/>
      <c r="O63" s="24"/>
      <c r="P63" s="24"/>
      <c r="Q63" s="24"/>
      <c r="R63" s="24"/>
      <c r="S63" s="24"/>
      <c r="T63" s="24"/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3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3"/>
        <v>0</v>
      </c>
      <c r="I65" s="47"/>
      <c r="J65" s="47"/>
      <c r="K65" s="47"/>
      <c r="L65" s="47"/>
      <c r="M65" s="47"/>
      <c r="N65" s="27"/>
      <c r="O65" s="27"/>
      <c r="P65" s="27"/>
      <c r="Q65" s="27"/>
      <c r="R65" s="27"/>
      <c r="S65" s="27"/>
      <c r="T65" s="27"/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3"/>
        <v>0</v>
      </c>
      <c r="I66" s="47"/>
      <c r="J66" s="47"/>
      <c r="K66" s="47"/>
      <c r="L66" s="47"/>
      <c r="M66" s="47"/>
      <c r="N66" s="27"/>
      <c r="O66" s="27"/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3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3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3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0</v>
      </c>
      <c r="I72" s="24">
        <f aca="true" t="shared" si="24" ref="I72:N72">I62*33/100</f>
        <v>0</v>
      </c>
      <c r="J72" s="24">
        <f t="shared" si="24"/>
        <v>0</v>
      </c>
      <c r="K72" s="24">
        <f t="shared" si="24"/>
        <v>0</v>
      </c>
      <c r="L72" s="24">
        <f t="shared" si="24"/>
        <v>0</v>
      </c>
      <c r="M72" s="24">
        <f t="shared" si="24"/>
        <v>0</v>
      </c>
      <c r="N72" s="24">
        <f t="shared" si="24"/>
        <v>0</v>
      </c>
      <c r="O72" s="24">
        <f aca="true" t="shared" si="25" ref="O72:T72">O62*33/100</f>
        <v>0</v>
      </c>
      <c r="P72" s="24">
        <f t="shared" si="25"/>
        <v>0</v>
      </c>
      <c r="Q72" s="24">
        <f t="shared" si="25"/>
        <v>0</v>
      </c>
      <c r="R72" s="24">
        <f t="shared" si="25"/>
        <v>0</v>
      </c>
      <c r="S72" s="24">
        <f t="shared" si="25"/>
        <v>0</v>
      </c>
      <c r="T72" s="24">
        <f t="shared" si="25"/>
        <v>0</v>
      </c>
    </row>
    <row r="73" spans="5:20" ht="12.75">
      <c r="E73" s="28" t="s">
        <v>74</v>
      </c>
      <c r="F73" s="28"/>
      <c r="G73" s="28"/>
      <c r="H73" s="21">
        <f>SUM(I73:T73)</f>
        <v>0</v>
      </c>
      <c r="I73" s="24">
        <f aca="true" t="shared" si="26" ref="I73:N73">1.4*I62/100</f>
        <v>0</v>
      </c>
      <c r="J73" s="24">
        <f t="shared" si="26"/>
        <v>0</v>
      </c>
      <c r="K73" s="24">
        <f t="shared" si="26"/>
        <v>0</v>
      </c>
      <c r="L73" s="24">
        <f t="shared" si="26"/>
        <v>0</v>
      </c>
      <c r="M73" s="24">
        <f t="shared" si="26"/>
        <v>0</v>
      </c>
      <c r="N73" s="24">
        <f t="shared" si="26"/>
        <v>0</v>
      </c>
      <c r="O73" s="24">
        <f aca="true" t="shared" si="27" ref="O73:T73">1.4*O62/100</f>
        <v>0</v>
      </c>
      <c r="P73" s="24">
        <f t="shared" si="27"/>
        <v>0</v>
      </c>
      <c r="Q73" s="24">
        <f t="shared" si="27"/>
        <v>0</v>
      </c>
      <c r="R73" s="24">
        <f t="shared" si="27"/>
        <v>0</v>
      </c>
      <c r="S73" s="24">
        <f t="shared" si="27"/>
        <v>0</v>
      </c>
      <c r="T73" s="24">
        <f t="shared" si="27"/>
        <v>0</v>
      </c>
    </row>
    <row r="74" spans="6:20" ht="12.75">
      <c r="F74" s="29"/>
      <c r="G74" s="29"/>
      <c r="H74" s="21">
        <f>SUM(I74:T74)</f>
        <v>0</v>
      </c>
      <c r="I74" s="24">
        <f aca="true" t="shared" si="28" ref="I74:N74">I62+I72+I73</f>
        <v>0</v>
      </c>
      <c r="J74" s="24">
        <f t="shared" si="28"/>
        <v>0</v>
      </c>
      <c r="K74" s="24">
        <f t="shared" si="28"/>
        <v>0</v>
      </c>
      <c r="L74" s="24">
        <f t="shared" si="28"/>
        <v>0</v>
      </c>
      <c r="M74" s="24">
        <f t="shared" si="28"/>
        <v>0</v>
      </c>
      <c r="N74" s="24">
        <f t="shared" si="28"/>
        <v>0</v>
      </c>
      <c r="O74" s="24">
        <f aca="true" t="shared" si="29" ref="O74:T74">O62+O72+O73</f>
        <v>0</v>
      </c>
      <c r="P74" s="24">
        <f t="shared" si="29"/>
        <v>0</v>
      </c>
      <c r="Q74" s="24">
        <f t="shared" si="29"/>
        <v>0</v>
      </c>
      <c r="R74" s="24">
        <f t="shared" si="29"/>
        <v>0</v>
      </c>
      <c r="S74" s="24">
        <f t="shared" si="29"/>
        <v>0</v>
      </c>
      <c r="T74" s="24">
        <f t="shared" si="29"/>
        <v>0</v>
      </c>
    </row>
    <row r="75" spans="5:20" ht="12.75">
      <c r="E75" s="30" t="s">
        <v>75</v>
      </c>
      <c r="H75" s="21" t="s">
        <v>76</v>
      </c>
      <c r="I75" s="48"/>
      <c r="J75" s="48"/>
      <c r="K75" s="48"/>
      <c r="L75" s="48"/>
      <c r="M75" s="48"/>
      <c r="N75" s="31"/>
      <c r="O75" s="31"/>
      <c r="P75" s="31"/>
      <c r="Q75" s="31"/>
      <c r="R75" s="31"/>
      <c r="S75" s="31"/>
      <c r="T75" s="31"/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77</v>
      </c>
      <c r="H77" s="7">
        <f>SUM(I77:T77)</f>
        <v>0</v>
      </c>
      <c r="I77" s="32"/>
      <c r="J77" s="32"/>
      <c r="K77" s="32"/>
      <c r="L77" s="32"/>
      <c r="M77" s="32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32" t="s">
        <v>78</v>
      </c>
      <c r="H78" s="7">
        <f>SUM(I78:T78)</f>
        <v>0</v>
      </c>
      <c r="I78" s="40">
        <f>I77*I75</f>
        <v>0</v>
      </c>
      <c r="J78" s="40">
        <f>J77*J75</f>
        <v>0</v>
      </c>
      <c r="K78" s="40">
        <f>K77*K75</f>
        <v>0</v>
      </c>
      <c r="L78" s="40">
        <f>L77*L75</f>
        <v>0</v>
      </c>
      <c r="M78" s="40">
        <f aca="true" t="shared" si="30" ref="M78:T78">M77*M75</f>
        <v>0</v>
      </c>
      <c r="N78" s="4">
        <f t="shared" si="30"/>
        <v>0</v>
      </c>
      <c r="O78" s="4">
        <f t="shared" si="30"/>
        <v>0</v>
      </c>
      <c r="P78" s="4">
        <f t="shared" si="30"/>
        <v>0</v>
      </c>
      <c r="Q78" s="4">
        <f t="shared" si="30"/>
        <v>0</v>
      </c>
      <c r="R78" s="4">
        <f t="shared" si="30"/>
        <v>0</v>
      </c>
      <c r="S78" s="4">
        <f t="shared" si="30"/>
        <v>0</v>
      </c>
      <c r="T78" s="4">
        <f t="shared" si="30"/>
        <v>0</v>
      </c>
    </row>
    <row r="79" spans="1:20" ht="18">
      <c r="A79" s="1"/>
      <c r="B79" s="1"/>
      <c r="C79" s="1"/>
      <c r="D79" s="1"/>
      <c r="E79" s="33" t="s">
        <v>79</v>
      </c>
      <c r="F79" s="2"/>
      <c r="G79" s="2"/>
      <c r="H79" s="7">
        <f aca="true" t="shared" si="31" ref="H79:H92">SUM(I79:T79)</f>
        <v>0</v>
      </c>
      <c r="I79" s="38"/>
      <c r="J79" s="38"/>
      <c r="K79" s="38"/>
      <c r="L79" s="38"/>
      <c r="M79" s="38"/>
      <c r="N79" s="13"/>
      <c r="O79" s="13"/>
      <c r="P79" s="13"/>
      <c r="Q79" s="13"/>
      <c r="R79" s="13"/>
      <c r="S79" s="13"/>
      <c r="T79" s="13"/>
    </row>
    <row r="80" spans="1:20" ht="12.75">
      <c r="A80" s="1"/>
      <c r="B80" s="1"/>
      <c r="C80" s="1"/>
      <c r="D80" s="1"/>
      <c r="E80" s="32" t="s">
        <v>80</v>
      </c>
      <c r="H80" s="7">
        <f t="shared" si="31"/>
        <v>0</v>
      </c>
      <c r="I80" s="38"/>
      <c r="J80" s="38"/>
      <c r="K80" s="38"/>
      <c r="L80" s="38"/>
      <c r="M80" s="38"/>
      <c r="N80" s="13"/>
      <c r="O80" s="13"/>
      <c r="P80" s="13"/>
      <c r="Q80" s="13"/>
      <c r="R80" s="13"/>
      <c r="S80" s="13"/>
      <c r="T80" s="13"/>
    </row>
    <row r="81" spans="1:20" ht="12.75">
      <c r="A81" s="1"/>
      <c r="B81" s="1"/>
      <c r="C81" s="1"/>
      <c r="D81" s="1"/>
      <c r="E81" s="32" t="s">
        <v>81</v>
      </c>
      <c r="F81" s="22"/>
      <c r="G81" s="22"/>
      <c r="H81" s="7">
        <f t="shared" si="31"/>
        <v>0</v>
      </c>
      <c r="I81" s="40">
        <f>I79*I80</f>
        <v>0</v>
      </c>
      <c r="J81" s="40">
        <f>J79*J80</f>
        <v>0</v>
      </c>
      <c r="K81" s="40">
        <f>K79*K80</f>
        <v>0</v>
      </c>
      <c r="L81" s="40">
        <f>L79*L80</f>
        <v>0</v>
      </c>
      <c r="M81" s="40">
        <f aca="true" t="shared" si="32" ref="M81:T81">M79*M80</f>
        <v>0</v>
      </c>
      <c r="N81" s="4">
        <f t="shared" si="32"/>
        <v>0</v>
      </c>
      <c r="O81" s="4">
        <f t="shared" si="32"/>
        <v>0</v>
      </c>
      <c r="P81" s="4">
        <f t="shared" si="32"/>
        <v>0</v>
      </c>
      <c r="Q81" s="4">
        <f t="shared" si="32"/>
        <v>0</v>
      </c>
      <c r="R81" s="4">
        <f t="shared" si="32"/>
        <v>0</v>
      </c>
      <c r="S81" s="4">
        <f t="shared" si="32"/>
        <v>0</v>
      </c>
      <c r="T81" s="4">
        <f t="shared" si="32"/>
        <v>0</v>
      </c>
    </row>
    <row r="82" spans="1:20" ht="12.75">
      <c r="A82" s="1"/>
      <c r="B82" s="1"/>
      <c r="C82" s="1"/>
      <c r="D82" s="1"/>
      <c r="E82" s="33" t="s">
        <v>82</v>
      </c>
      <c r="F82" s="22"/>
      <c r="G82" s="22"/>
      <c r="H82" s="7">
        <f t="shared" si="31"/>
        <v>0</v>
      </c>
      <c r="I82" s="38"/>
      <c r="J82" s="38"/>
      <c r="K82" s="38"/>
      <c r="L82" s="38"/>
      <c r="M82" s="38"/>
      <c r="N82" s="13"/>
      <c r="O82" s="13"/>
      <c r="P82" s="13"/>
      <c r="Q82" s="13"/>
      <c r="R82" s="13"/>
      <c r="S82" s="13"/>
      <c r="T82" s="13"/>
    </row>
    <row r="83" spans="1:20" ht="12.75">
      <c r="A83" s="1"/>
      <c r="B83" s="1"/>
      <c r="C83" s="1"/>
      <c r="D83" s="1"/>
      <c r="E83" s="32" t="s">
        <v>80</v>
      </c>
      <c r="F83" s="26"/>
      <c r="G83" s="26"/>
      <c r="H83" s="7">
        <f t="shared" si="31"/>
        <v>0</v>
      </c>
      <c r="I83" s="32"/>
      <c r="J83" s="32"/>
      <c r="K83" s="32"/>
      <c r="L83" s="32"/>
      <c r="M83" s="32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32" t="s">
        <v>81</v>
      </c>
      <c r="F84" s="26"/>
      <c r="G84" s="26"/>
      <c r="H84" s="7">
        <f t="shared" si="31"/>
        <v>0</v>
      </c>
      <c r="I84" s="40">
        <f>I82*I83</f>
        <v>0</v>
      </c>
      <c r="J84" s="40">
        <f>J82*J83</f>
        <v>0</v>
      </c>
      <c r="K84" s="40">
        <f>K82*K83</f>
        <v>0</v>
      </c>
      <c r="L84" s="40">
        <f>L82*L83</f>
        <v>0</v>
      </c>
      <c r="M84" s="40">
        <f aca="true" t="shared" si="33" ref="M84:T84">M82*M83</f>
        <v>0</v>
      </c>
      <c r="N84" s="4">
        <f t="shared" si="33"/>
        <v>0</v>
      </c>
      <c r="O84" s="4">
        <f t="shared" si="33"/>
        <v>0</v>
      </c>
      <c r="P84" s="4">
        <f t="shared" si="33"/>
        <v>0</v>
      </c>
      <c r="Q84" s="4">
        <f t="shared" si="33"/>
        <v>0</v>
      </c>
      <c r="R84" s="4">
        <f t="shared" si="33"/>
        <v>0</v>
      </c>
      <c r="S84" s="4">
        <f t="shared" si="33"/>
        <v>0</v>
      </c>
      <c r="T84" s="4">
        <f t="shared" si="33"/>
        <v>0</v>
      </c>
    </row>
    <row r="85" spans="6:9" ht="12.75">
      <c r="F85" s="26"/>
      <c r="G85" s="26" t="s">
        <v>83</v>
      </c>
      <c r="H85" s="7">
        <f t="shared" si="31"/>
        <v>0</v>
      </c>
      <c r="I85" s="44"/>
    </row>
    <row r="86" spans="1:20" ht="18">
      <c r="A86" s="1"/>
      <c r="B86" s="1"/>
      <c r="C86" s="1"/>
      <c r="D86" s="1"/>
      <c r="E86" s="2"/>
      <c r="H86" s="3">
        <f t="shared" si="31"/>
        <v>0</v>
      </c>
      <c r="I86" s="40" t="s">
        <v>89</v>
      </c>
      <c r="J86" s="40" t="s">
        <v>90</v>
      </c>
      <c r="K86" s="40" t="s">
        <v>91</v>
      </c>
      <c r="L86" s="45" t="s">
        <v>92</v>
      </c>
      <c r="M86" s="40" t="s">
        <v>93</v>
      </c>
      <c r="N86" s="4" t="s">
        <v>94</v>
      </c>
      <c r="O86" s="4" t="s">
        <v>95</v>
      </c>
      <c r="P86" s="5" t="s">
        <v>96</v>
      </c>
      <c r="Q86" s="4" t="s">
        <v>97</v>
      </c>
      <c r="R86" s="4" t="s">
        <v>98</v>
      </c>
      <c r="S86" s="4" t="s">
        <v>99</v>
      </c>
      <c r="T86" s="5" t="s">
        <v>100</v>
      </c>
    </row>
    <row r="87" spans="5:20" ht="12.75">
      <c r="E87" s="18" t="s">
        <v>84</v>
      </c>
      <c r="H87" s="21">
        <f t="shared" si="31"/>
        <v>0</v>
      </c>
      <c r="I87" s="44">
        <f>SUM(I88:I93)</f>
        <v>0</v>
      </c>
      <c r="J87" s="44">
        <f>SUM(J88:J93)</f>
        <v>0</v>
      </c>
      <c r="K87" s="44">
        <f>SUM(K88:K93)</f>
        <v>0</v>
      </c>
      <c r="L87" s="44">
        <f>SUM(L88:L93)</f>
        <v>0</v>
      </c>
      <c r="M87" s="44">
        <f aca="true" t="shared" si="34" ref="M87:T87">SUM(M88:M93)</f>
        <v>0</v>
      </c>
      <c r="N87">
        <f t="shared" si="34"/>
        <v>0</v>
      </c>
      <c r="O87">
        <f t="shared" si="34"/>
        <v>0</v>
      </c>
      <c r="P87">
        <f t="shared" si="34"/>
        <v>0</v>
      </c>
      <c r="Q87">
        <f t="shared" si="34"/>
        <v>0</v>
      </c>
      <c r="R87">
        <f t="shared" si="34"/>
        <v>0</v>
      </c>
      <c r="S87">
        <f t="shared" si="34"/>
        <v>0</v>
      </c>
      <c r="T87">
        <f t="shared" si="34"/>
        <v>0</v>
      </c>
    </row>
    <row r="88" spans="1:13" s="25" customFormat="1" ht="12.75">
      <c r="A88" s="22"/>
      <c r="B88" s="22"/>
      <c r="C88" s="22"/>
      <c r="D88" s="22"/>
      <c r="E88" s="22" t="s">
        <v>85</v>
      </c>
      <c r="F88" s="18"/>
      <c r="G88" s="18"/>
      <c r="H88" s="23">
        <f t="shared" si="31"/>
        <v>0</v>
      </c>
      <c r="I88" s="49"/>
      <c r="J88" s="49"/>
      <c r="K88" s="49"/>
      <c r="L88" s="49"/>
      <c r="M88" s="49"/>
    </row>
    <row r="89" spans="1:13" s="25" customFormat="1" ht="12.75">
      <c r="A89" s="22"/>
      <c r="B89" s="22"/>
      <c r="C89" s="22"/>
      <c r="D89" s="22"/>
      <c r="E89" s="22" t="s">
        <v>86</v>
      </c>
      <c r="F89" s="18"/>
      <c r="G89" s="18"/>
      <c r="H89" s="23">
        <f t="shared" si="31"/>
        <v>0</v>
      </c>
      <c r="I89" s="49"/>
      <c r="J89" s="49"/>
      <c r="K89" s="49"/>
      <c r="L89" s="49"/>
      <c r="M89" s="49"/>
    </row>
    <row r="90" spans="1:13" s="25" customFormat="1" ht="12.75">
      <c r="A90" s="22"/>
      <c r="B90" s="22"/>
      <c r="C90" s="22"/>
      <c r="D90" s="22"/>
      <c r="E90" s="26" t="s">
        <v>107</v>
      </c>
      <c r="F90" s="18"/>
      <c r="G90" s="18"/>
      <c r="H90" s="23">
        <f t="shared" si="31"/>
        <v>0</v>
      </c>
      <c r="I90" s="49"/>
      <c r="J90" s="49"/>
      <c r="K90" s="49"/>
      <c r="L90" s="49"/>
      <c r="M90" s="49"/>
    </row>
    <row r="91" spans="1:13" s="25" customFormat="1" ht="12.75">
      <c r="A91" s="22"/>
      <c r="B91" s="22"/>
      <c r="C91" s="22"/>
      <c r="D91" s="22"/>
      <c r="E91" s="26" t="s">
        <v>87</v>
      </c>
      <c r="F91" s="18"/>
      <c r="G91" s="18"/>
      <c r="H91" s="23">
        <f t="shared" si="31"/>
        <v>0</v>
      </c>
      <c r="I91" s="49"/>
      <c r="J91" s="49"/>
      <c r="K91" s="49"/>
      <c r="L91" s="49"/>
      <c r="M91" s="49"/>
    </row>
    <row r="92" spans="1:13" s="25" customFormat="1" ht="12.75">
      <c r="A92" s="22"/>
      <c r="B92" s="22"/>
      <c r="C92" s="22"/>
      <c r="D92" s="22"/>
      <c r="E92" s="26" t="s">
        <v>88</v>
      </c>
      <c r="F92" s="18"/>
      <c r="G92" s="18"/>
      <c r="H92" s="23">
        <f t="shared" si="31"/>
        <v>0</v>
      </c>
      <c r="I92" s="49"/>
      <c r="J92" s="49"/>
      <c r="K92" s="49"/>
      <c r="L92" s="49"/>
      <c r="M92" s="49"/>
    </row>
    <row r="93" ht="12.75">
      <c r="I93" s="44"/>
    </row>
    <row r="94" ht="12.75">
      <c r="I94" s="44"/>
    </row>
    <row r="95" ht="12.75">
      <c r="I95" s="44"/>
    </row>
    <row r="96" ht="12.75">
      <c r="I96" s="44"/>
    </row>
    <row r="97" ht="12.75">
      <c r="I97" s="44"/>
    </row>
    <row r="98" ht="12.75">
      <c r="I98" s="44"/>
    </row>
    <row r="99" ht="12.75">
      <c r="I99" s="44"/>
    </row>
    <row r="100" ht="12.75">
      <c r="I100" s="44"/>
    </row>
    <row r="101" ht="12.75"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1">
      <pane xSplit="8" ySplit="2" topLeftCell="M57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45" sqref="E45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18" width="10.7109375" style="0" bestFit="1" customWidth="1"/>
    <col min="19" max="19" width="12.28125" style="0" bestFit="1" customWidth="1"/>
    <col min="20" max="20" width="11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26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94</v>
      </c>
      <c r="O2" s="5" t="s">
        <v>247</v>
      </c>
      <c r="P2" s="5" t="s">
        <v>96</v>
      </c>
      <c r="Q2" s="5" t="s">
        <v>97</v>
      </c>
      <c r="R2" s="5" t="s">
        <v>262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adm066051!F3+'gaas 04320'!F3+'Küte 043601'!F3+'küte 043602'!F3+'HV 052001'!F3+'HV 052003'!F3+'HV 052004'!F3+'JV 063001'!F3+'JV 063003'!F3+'JV 063004'!F3+'JV 063005'!F3+'JV 063006'!F3+'JV 063007'!F3+'El 064001'!F3+'EH 066011'!F3+MT066013!F3</f>
        <v>9689891.81</v>
      </c>
      <c r="G3" s="4">
        <f>adm066051!G3+'gaas 04320'!G3+'Küte 043601'!G3+'küte 043602'!G3+'HV 052001'!G3+'HV 052003'!G3+'HV 052004'!G3+'JV 063001'!G3+'JV 063003'!G3+'JV 063004'!G3+'JV 063005'!G3+'JV 063006'!G3+'JV 063007'!G3+'El 064001'!G3+'EH 066011'!G3+MT066013!G3</f>
        <v>9982981.04</v>
      </c>
      <c r="H3" s="7">
        <f>SUM(I3:T3)</f>
        <v>10864860.488400001</v>
      </c>
      <c r="I3" s="40">
        <f>adm066051!I3+'gaas 04320'!I3+'Küte 043601'!I3+'küte 043602'!I3+'HV 052001'!I3+'HV 052003'!I3+'HV 052004'!I3+'JV 063001'!I3+'JV 063003'!I3+'JV 063004'!I3+'JV 063005'!I3+'JV 063006'!I3+'JV 063007'!I3+'El 064001'!I3+'EH 066011'!I3+MT066013!I3</f>
        <v>1344323.67</v>
      </c>
      <c r="J3" s="40">
        <f>adm066051!J3+'gaas 04320'!J3+'Küte 043601'!J3+'küte 043602'!J3+'HV 052001'!J3+'HV 052003'!J3+'HV 052004'!J3+'JV 063001'!J3+'JV 063003'!J3+'JV 063004'!J3+'JV 063005'!J3+'JV 063006'!J3+'JV 063007'!J3+'El 064001'!J3+'EH 066011'!J3+MT066013!J3</f>
        <v>1185166.6800000004</v>
      </c>
      <c r="K3" s="40">
        <f>adm066051!K3+'gaas 04320'!K3+'Küte 043601'!K3+'küte 043602'!K3+'HV 052001'!K3+'HV 052003'!K3+'HV 052004'!K3+'JV 063001'!K3+'JV 063003'!K3+'JV 063004'!K3+'JV 063005'!K3+'JV 063006'!K3+'JV 063007'!K3+'El 064001'!K3+'EH 066011'!K3+MT066013!K3</f>
        <v>1116547.29</v>
      </c>
      <c r="L3" s="40">
        <f>adm066051!L3+'gaas 04320'!L3+'Küte 043601'!L3+'küte 043602'!L3+'HV 052001'!L3+'HV 052003'!L3+'HV 052004'!L3+'JV 063001'!L3+'JV 063003'!L3+'JV 063004'!L3+'JV 063005'!L3+'JV 063006'!L3+'JV 063007'!L3+'El 064001'!L3+'EH 066011'!L3+MT066013!L3</f>
        <v>898017.1200000001</v>
      </c>
      <c r="M3" s="40">
        <f>adm066051!M3+'gaas 04320'!M3+'Küte 043601'!M3+'küte 043602'!M3+'HV 052001'!M3+'HV 052003'!M3+'HV 052004'!M3+'JV 063001'!M3+'JV 063003'!M3+'JV 063004'!M3+'JV 063005'!M3+'JV 063006'!M3+'JV 063007'!M3+'El 064001'!M3+'EH 066011'!M3+MT066013!M3</f>
        <v>840950.14</v>
      </c>
      <c r="N3" s="4">
        <f>adm066051!N3+'gaas 04320'!N3+'Küte 043601'!N3+'küte 043602'!N3+'HV 052001'!N3+'HV 052003'!N3+'HV 052004'!N3+'JV 063001'!N3+'JV 063003'!N3+'JV 063004'!N3+'JV 063005'!N3+'JV 063006'!N3+'JV 063007'!N3+'El 064001'!N3+'EH 066011'!N3+MT066013!N3</f>
        <v>507728.2</v>
      </c>
      <c r="O3" s="4">
        <f>adm066051!O3+'gaas 04320'!O3+'Küte 043601'!O3+'küte 043602'!O3+'HV 052001'!O3+'HV 052003'!O3+'HV 052004'!O3+'JV 063001'!O3+'JV 063003'!O3+'JV 063004'!O3+'JV 063005'!O3+'JV 063006'!O3+'JV 063007'!O3+'El 064001'!O3+'EH 066011'!O3+MT066013!O3</f>
        <v>413779.53040000016</v>
      </c>
      <c r="P3" s="4">
        <f>adm066051!P3+'gaas 04320'!P3+'Küte 043601'!P3+'küte 043602'!P3+'HV 052001'!P3+'HV 052003'!P3+'HV 052004'!P3+'JV 063001'!P3+'JV 063003'!P3+'JV 063004'!P3+'JV 063005'!P3+'JV 063006'!P3+'JV 063007'!P3+'El 064001'!P3+'EH 066011'!P3+MT066013!P3</f>
        <v>453500.5064000001</v>
      </c>
      <c r="Q3" s="4">
        <f>adm066051!Q3+'gaas 04320'!Q3+'Küte 043601'!Q3+'küte 043602'!Q3+'HV 052001'!Q3+'HV 052003'!Q3+'HV 052004'!Q3+'JV 063001'!Q3+'JV 063003'!Q3+'JV 063004'!Q3+'JV 063005'!Q3+'JV 063006'!Q3+'JV 063007'!Q3+'El 064001'!Q3+'EH 066011'!Q3+MT066013!Q3</f>
        <v>777340.7700000001</v>
      </c>
      <c r="R3" s="4">
        <f>adm066051!R3+'gaas 04320'!R3+'Küte 043601'!R3+'küte 043602'!R3+'HV 052001'!R3+'HV 052003'!R3+'HV 052004'!R3+'JV 063001'!R3+'JV 063003'!R3+'JV 063004'!R3+'JV 063005'!R3+'JV 063006'!R3+'JV 063007'!R3+'El 064001'!R3+'EH 066011'!R3+MT066013!R3</f>
        <v>910447.9316</v>
      </c>
      <c r="S3" s="4">
        <f>adm066051!S3+'gaas 04320'!S3+'Küte 043601'!S3+'küte 043602'!S3+'HV 052001'!S3+'HV 052003'!S3+'HV 052004'!S3+'JV 063001'!S3+'JV 063003'!S3+'JV 063004'!S3+'JV 063005'!S3+'JV 063006'!S3+'JV 063007'!S3+'El 064001'!S3+'EH 066011'!S3+MT066013!S3</f>
        <v>1028703.6299999999</v>
      </c>
      <c r="T3" s="4">
        <f>adm066051!T3+'gaas 04320'!T3+'Küte 043601'!T3+'küte 043602'!T3+'HV 052001'!T3+'HV 052003'!T3+'HV 052004'!T3+'JV 063001'!T3+'JV 063003'!T3+'JV 063004'!T3+'JV 063005'!T3+'JV 063006'!T3+'JV 063007'!T3+'El 064001'!T3+'EH 066011'!T3+MT066013!T3</f>
        <v>1388355.0199999993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adm066051!F4+'gaas 04320'!F4+'Küte 043601'!F4+'küte 043602'!F4+'HV 052001'!F4+'HV 052003'!F4+'HV 052004'!F4+'JV 063001'!F4+'JV 063003'!F4+'JV 063004'!F4+'JV 063005'!F4+'JV 063006'!F4+'JV 063007'!F4+'El 064001'!F4+'EH 066011'!F4+MT066013!F4</f>
        <v>8745578.800000003</v>
      </c>
      <c r="G4" s="4">
        <f>adm066051!G4+'gaas 04320'!G4+'Küte 043601'!G4+'küte 043602'!G4+'HV 052001'!G4+'HV 052003'!G4+'HV 052004'!G4+'JV 063001'!G4+'JV 063003'!G4+'JV 063004'!G4+'JV 063005'!G4+'JV 063006'!G4+'JV 063007'!G4+'El 064001'!G4+'EH 066011'!G4+MT066013!G4</f>
        <v>8726939.830000002</v>
      </c>
      <c r="H4" s="7">
        <f aca="true" t="shared" si="0" ref="H4:H61">SUM(I4:T4)</f>
        <v>8846098.6084</v>
      </c>
      <c r="I4" s="40">
        <f>adm066051!I4+'gaas 04320'!I4+'Küte 043601'!I4+'küte 043602'!I4+'HV 052001'!I4+'HV 052003'!I4+'HV 052004'!I4+'JV 063001'!I4+'JV 063003'!I4+'JV 063004'!I4+'JV 063005'!I4+'JV 063006'!I4+'JV 063007'!I4+'El 064001'!I4+'EH 066011'!I4+MT066013!I4</f>
        <v>1223392.34</v>
      </c>
      <c r="J4" s="40">
        <f>adm066051!J4+'gaas 04320'!J4+'Küte 043601'!J4+'küte 043602'!J4+'HV 052001'!J4+'HV 052003'!J4+'HV 052004'!J4+'JV 063001'!J4+'JV 063003'!J4+'JV 063004'!J4+'JV 063005'!J4+'JV 063006'!J4+'JV 063007'!J4+'El 064001'!J4+'EH 066011'!J4+MT066013!J4</f>
        <v>1064235.35</v>
      </c>
      <c r="K4" s="40">
        <f>adm066051!K4+'gaas 04320'!K4+'Küte 043601'!K4+'küte 043602'!K4+'HV 052001'!K4+'HV 052003'!K4+'HV 052004'!K4+'JV 063001'!K4+'JV 063003'!K4+'JV 063004'!K4+'JV 063005'!K4+'JV 063006'!K4+'JV 063007'!K4+'El 064001'!K4+'EH 066011'!K4+MT066013!K4</f>
        <v>995615.9600000002</v>
      </c>
      <c r="L4" s="40">
        <f>adm066051!L4+'gaas 04320'!L4+'Küte 043601'!L4+'küte 043602'!L4+'HV 052001'!L4+'HV 052003'!L4+'HV 052004'!L4+'JV 063001'!L4+'JV 063003'!L4+'JV 063004'!L4+'JV 063005'!L4+'JV 063006'!L4+'JV 063007'!L4+'El 064001'!L4+'EH 066011'!L4+MT066013!L4</f>
        <v>686769.3800000001</v>
      </c>
      <c r="M4" s="40">
        <f>adm066051!M4+'gaas 04320'!M4+'Küte 043601'!M4+'küte 043602'!M4+'HV 052001'!M4+'HV 052003'!M4+'HV 052004'!M4+'JV 063001'!M4+'JV 063003'!M4+'JV 063004'!M4+'JV 063005'!M4+'JV 063006'!M4+'JV 063007'!M4+'El 064001'!M4+'EH 066011'!M4+MT066013!M4</f>
        <v>452853.3300000001</v>
      </c>
      <c r="N4" s="4">
        <f>adm066051!N4+'gaas 04320'!N4+'Küte 043601'!N4+'küte 043602'!N4+'HV 052001'!N4+'HV 052003'!N4+'HV 052004'!N4+'JV 063001'!N4+'JV 063003'!N4+'JV 063004'!N4+'JV 063005'!N4+'JV 063006'!N4+'JV 063007'!N4+'El 064001'!N4+'EH 066011'!N4+MT066013!N4</f>
        <v>386796.86999999994</v>
      </c>
      <c r="O4" s="4">
        <f>adm066051!O4+'gaas 04320'!O4+'Küte 043601'!O4+'küte 043602'!O4+'HV 052001'!O4+'HV 052003'!O4+'HV 052004'!O4+'JV 063001'!O4+'JV 063003'!O4+'JV 063004'!O4+'JV 063005'!O4+'JV 063006'!O4+'JV 063007'!O4+'El 064001'!O4+'EH 066011'!O4+MT066013!O4</f>
        <v>292848.20040000003</v>
      </c>
      <c r="P4" s="4">
        <f>adm066051!P4+'gaas 04320'!P4+'Küte 043601'!P4+'küte 043602'!P4+'HV 052001'!P4+'HV 052003'!P4+'HV 052004'!P4+'JV 063001'!P4+'JV 063003'!P4+'JV 063004'!P4+'JV 063005'!P4+'JV 063006'!P4+'JV 063007'!P4+'El 064001'!P4+'EH 066011'!P4+MT066013!P4</f>
        <v>322033.17640000005</v>
      </c>
      <c r="Q4" s="4">
        <f>adm066051!Q4+'gaas 04320'!Q4+'Küte 043601'!Q4+'küte 043602'!Q4+'HV 052001'!Q4+'HV 052003'!Q4+'HV 052004'!Q4+'JV 063001'!Q4+'JV 063003'!Q4+'JV 063004'!Q4+'JV 063005'!Q4+'JV 063006'!Q4+'JV 063007'!Q4+'El 064001'!Q4+'EH 066011'!Q4+MT066013!Q4</f>
        <v>490382.4099999999</v>
      </c>
      <c r="R4" s="4">
        <f>adm066051!R4+'gaas 04320'!R4+'Küte 043601'!R4+'küte 043602'!R4+'HV 052001'!R4+'HV 052003'!R4+'HV 052004'!R4+'JV 063001'!R4+'JV 063003'!R4+'JV 063004'!R4+'JV 063005'!R4+'JV 063006'!R4+'JV 063007'!R4+'El 064001'!R4+'EH 066011'!R4+MT066013!R4</f>
        <v>778980.6015999999</v>
      </c>
      <c r="S4" s="4">
        <f>adm066051!S4+'gaas 04320'!S4+'Küte 043601'!S4+'küte 043602'!S4+'HV 052001'!S4+'HV 052003'!S4+'HV 052004'!S4+'JV 063001'!S4+'JV 063003'!S4+'JV 063004'!S4+'JV 063005'!S4+'JV 063006'!S4+'JV 063007'!S4+'El 064001'!S4+'EH 066011'!S4+MT066013!S4</f>
        <v>897236.3</v>
      </c>
      <c r="T4" s="4">
        <f>adm066051!T4+'gaas 04320'!T4+'Küte 043601'!T4+'küte 043602'!T4+'HV 052001'!T4+'HV 052003'!T4+'HV 052004'!T4+'JV 063001'!T4+'JV 063003'!T4+'JV 063004'!T4+'JV 063005'!T4+'JV 063006'!T4+'JV 063007'!T4+'El 064001'!T4+'EH 066011'!T4+MT066013!T4</f>
        <v>1254954.6899999995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adm066051!F5+'gaas 04320'!F5+'Küte 043601'!F5+'küte 043602'!F5+'HV 052001'!F5+'HV 052003'!F5+'HV 052004'!F5+'JV 063001'!F5+'JV 063003'!F5+'JV 063004'!F5+'JV 063005'!F5+'JV 063006'!F5+'JV 063007'!F5+'El 064001'!F5+'EH 066011'!F5+MT066013!F5</f>
        <v>8745578.800000003</v>
      </c>
      <c r="G5" s="4">
        <f>adm066051!G5+'gaas 04320'!G5+'Küte 043601'!G5+'küte 043602'!G5+'HV 052001'!G5+'HV 052003'!G5+'HV 052004'!G5+'JV 063001'!G5+'JV 063003'!G5+'JV 063004'!G5+'JV 063005'!G5+'JV 063006'!G5+'JV 063007'!G5+'El 064001'!G5+'EH 066011'!G5+MT066013!G5</f>
        <v>8726939.830000002</v>
      </c>
      <c r="H5" s="7">
        <f t="shared" si="0"/>
        <v>8846098.6084</v>
      </c>
      <c r="I5" s="40">
        <f>adm066051!I5+'gaas 04320'!I5+'Küte 043601'!I5+'küte 043602'!I5+'HV 052001'!I5+'HV 052003'!I5+'HV 052004'!I5+'JV 063001'!I5+'JV 063003'!I5+'JV 063004'!I5+'JV 063005'!I5+'JV 063006'!I5+'JV 063007'!I5+'El 064001'!I5+'EH 066011'!I5+MT066013!I5</f>
        <v>1223392.34</v>
      </c>
      <c r="J5" s="40">
        <f>adm066051!J5+'gaas 04320'!J5+'Küte 043601'!J5+'küte 043602'!J5+'HV 052001'!J5+'HV 052003'!J5+'HV 052004'!J5+'JV 063001'!J5+'JV 063003'!J5+'JV 063004'!J5+'JV 063005'!J5+'JV 063006'!J5+'JV 063007'!J5+'El 064001'!J5+'EH 066011'!J5+MT066013!J5</f>
        <v>1064235.35</v>
      </c>
      <c r="K5" s="40">
        <f>adm066051!K5+'gaas 04320'!K5+'Küte 043601'!K5+'küte 043602'!K5+'HV 052001'!K5+'HV 052003'!K5+'HV 052004'!K5+'JV 063001'!K5+'JV 063003'!K5+'JV 063004'!K5+'JV 063005'!K5+'JV 063006'!K5+'JV 063007'!K5+'El 064001'!K5+'EH 066011'!K5+MT066013!K5</f>
        <v>995615.9600000002</v>
      </c>
      <c r="L5" s="40">
        <f>adm066051!L5+'gaas 04320'!L5+'Küte 043601'!L5+'küte 043602'!L5+'HV 052001'!L5+'HV 052003'!L5+'HV 052004'!L5+'JV 063001'!L5+'JV 063003'!L5+'JV 063004'!L5+'JV 063005'!L5+'JV 063006'!L5+'JV 063007'!L5+'El 064001'!L5+'EH 066011'!L5+MT066013!L5</f>
        <v>686769.3800000001</v>
      </c>
      <c r="M5" s="40">
        <f>adm066051!M5+'gaas 04320'!M5+'Küte 043601'!M5+'küte 043602'!M5+'HV 052001'!M5+'HV 052003'!M5+'HV 052004'!M5+'JV 063001'!M5+'JV 063003'!M5+'JV 063004'!M5+'JV 063005'!M5+'JV 063006'!M5+'JV 063007'!M5+'El 064001'!M5+'EH 066011'!M5+MT066013!M5</f>
        <v>452853.3300000001</v>
      </c>
      <c r="N5" s="4">
        <f>adm066051!N5+'gaas 04320'!N5+'Küte 043601'!N5+'küte 043602'!N5+'HV 052001'!N5+'HV 052003'!N5+'HV 052004'!N5+'JV 063001'!N5+'JV 063003'!N5+'JV 063004'!N5+'JV 063005'!N5+'JV 063006'!N5+'JV 063007'!N5+'El 064001'!N5+'EH 066011'!N5+MT066013!N5</f>
        <v>386796.86999999994</v>
      </c>
      <c r="O5" s="4">
        <f>adm066051!O5+'gaas 04320'!O5+'Küte 043601'!O5+'küte 043602'!O5+'HV 052001'!O5+'HV 052003'!O5+'HV 052004'!O5+'JV 063001'!O5+'JV 063003'!O5+'JV 063004'!O5+'JV 063005'!O5+'JV 063006'!O5+'JV 063007'!O5+'El 064001'!O5+'EH 066011'!O5+MT066013!O5</f>
        <v>292848.20040000003</v>
      </c>
      <c r="P5" s="4">
        <f>adm066051!P5+'gaas 04320'!P5+'Küte 043601'!P5+'küte 043602'!P5+'HV 052001'!P5+'HV 052003'!P5+'HV 052004'!P5+'JV 063001'!P5+'JV 063003'!P5+'JV 063004'!P5+'JV 063005'!P5+'JV 063006'!P5+'JV 063007'!P5+'El 064001'!P5+'EH 066011'!P5+MT066013!P5</f>
        <v>322033.17640000005</v>
      </c>
      <c r="Q5" s="4">
        <f>adm066051!Q5+'gaas 04320'!Q5+'Küte 043601'!Q5+'küte 043602'!Q5+'HV 052001'!Q5+'HV 052003'!Q5+'HV 052004'!Q5+'JV 063001'!Q5+'JV 063003'!Q5+'JV 063004'!Q5+'JV 063005'!Q5+'JV 063006'!Q5+'JV 063007'!Q5+'El 064001'!Q5+'EH 066011'!Q5+MT066013!Q5</f>
        <v>490382.4099999999</v>
      </c>
      <c r="R5" s="4">
        <f>adm066051!R5+'gaas 04320'!R5+'Küte 043601'!R5+'küte 043602'!R5+'HV 052001'!R5+'HV 052003'!R5+'HV 052004'!R5+'JV 063001'!R5+'JV 063003'!R5+'JV 063004'!R5+'JV 063005'!R5+'JV 063006'!R5+'JV 063007'!R5+'El 064001'!R5+'EH 066011'!R5+MT066013!R5</f>
        <v>778980.6015999999</v>
      </c>
      <c r="S5" s="4">
        <f>adm066051!S5+'gaas 04320'!S5+'Küte 043601'!S5+'küte 043602'!S5+'HV 052001'!S5+'HV 052003'!S5+'HV 052004'!S5+'JV 063001'!S5+'JV 063003'!S5+'JV 063004'!S5+'JV 063005'!S5+'JV 063006'!S5+'JV 063007'!S5+'El 064001'!S5+'EH 066011'!S5+MT066013!S5</f>
        <v>897236.3</v>
      </c>
      <c r="T5" s="4">
        <f>adm066051!T5+'gaas 04320'!T5+'Küte 043601'!T5+'küte 043602'!T5+'HV 052001'!T5+'HV 052003'!T5+'HV 052004'!T5+'JV 063001'!T5+'JV 063003'!T5+'JV 063004'!T5+'JV 063005'!T5+'JV 063006'!T5+'JV 063007'!T5+'El 064001'!T5+'EH 066011'!T5+MT066013!T5</f>
        <v>1254954.6899999995</v>
      </c>
    </row>
    <row r="6" spans="1:20" s="11" customFormat="1" ht="12.75">
      <c r="A6" s="8"/>
      <c r="B6" s="8"/>
      <c r="C6" s="8"/>
      <c r="D6" s="8"/>
      <c r="E6" s="8" t="s">
        <v>194</v>
      </c>
      <c r="F6" s="4">
        <f>adm066051!F6+'gaas 04320'!F6+'Küte 043601'!F6+'küte 043602'!F6+'HV 052001'!F6+'HV 052003'!F6+'HV 052004'!F6+'JV 063001'!F6+'JV 063003'!F6+'JV 063004'!F6+'JV 063005'!F6+'JV 063006'!F6+'JV 063007'!F6+'El 064001'!F6+'EH 066011'!F6+MT066013!F6</f>
        <v>240378.78</v>
      </c>
      <c r="G6" s="4">
        <f>adm066051!G6+'gaas 04320'!G6+'Küte 043601'!G6+'küte 043602'!G6+'HV 052001'!G6+'HV 052003'!G6+'HV 052004'!G6+'JV 063001'!G6+'JV 063003'!G6+'JV 063004'!G6+'JV 063005'!G6+'JV 063006'!G6+'JV 063007'!G6+'El 064001'!G6+'EH 066011'!G6+MT066013!G6</f>
        <v>214454.61000000002</v>
      </c>
      <c r="H6" s="10">
        <f t="shared" si="0"/>
        <v>217286.24299999996</v>
      </c>
      <c r="I6" s="41">
        <f>adm066051!I6+'gaas 04320'!I6+'Küte 043601'!I6+'küte 043602'!I6+'HV 052001'!I6+'HV 052003'!I6+'HV 052004'!I6+'JV 063001'!I6+'JV 063003'!I6+'JV 063004'!I6+'JV 063005'!I6+'JV 063006'!I6+'JV 063007'!I6+'El 064001'!I6+'EH 066011'!I6+MT066013!I6</f>
        <v>15950.92</v>
      </c>
      <c r="J6" s="41">
        <f>adm066051!J6+'gaas 04320'!J6+'Küte 043601'!J6+'küte 043602'!J6+'HV 052001'!J6+'HV 052003'!J6+'HV 052004'!J6+'JV 063001'!J6+'JV 063003'!J6+'JV 063004'!J6+'JV 063005'!J6+'JV 063006'!J6+'JV 063007'!J6+'El 064001'!J6+'EH 066011'!J6+MT066013!J6</f>
        <v>15208.27</v>
      </c>
      <c r="K6" s="41">
        <f>adm066051!K6+'gaas 04320'!K6+'Küte 043601'!K6+'küte 043602'!K6+'HV 052001'!K6+'HV 052003'!K6+'HV 052004'!K6+'JV 063001'!K6+'JV 063003'!K6+'JV 063004'!K6+'JV 063005'!K6+'JV 063006'!K6+'JV 063007'!K6+'El 064001'!K6+'EH 066011'!K6+MT066013!K6</f>
        <v>20133.75</v>
      </c>
      <c r="L6" s="41">
        <f>adm066051!L6+'gaas 04320'!L6+'Küte 043601'!L6+'küte 043602'!L6+'HV 052001'!L6+'HV 052003'!L6+'HV 052004'!L6+'JV 063001'!L6+'JV 063003'!L6+'JV 063004'!L6+'JV 063005'!L6+'JV 063006'!L6+'JV 063007'!L6+'El 064001'!L6+'EH 066011'!L6+MT066013!L6</f>
        <v>17114.229</v>
      </c>
      <c r="M6" s="41">
        <f>adm066051!M6+'gaas 04320'!M6+'Küte 043601'!M6+'küte 043602'!M6+'HV 052001'!M6+'HV 052003'!M6+'HV 052004'!M6+'JV 063001'!M6+'JV 063003'!M6+'JV 063004'!M6+'JV 063005'!M6+'JV 063006'!M6+'JV 063007'!M6+'El 064001'!M6+'EH 066011'!M6+MT066013!M6</f>
        <v>17636.55</v>
      </c>
      <c r="N6" s="9">
        <f>adm066051!N6+'gaas 04320'!N6+'Küte 043601'!N6+'küte 043602'!N6+'HV 052001'!N6+'HV 052003'!N6+'HV 052004'!N6+'JV 063001'!N6+'JV 063003'!N6+'JV 063004'!N6+'JV 063005'!N6+'JV 063006'!N6+'JV 063007'!N6+'El 064001'!N6+'EH 066011'!N6+MT066013!N6</f>
        <v>19963.699</v>
      </c>
      <c r="O6" s="9">
        <f>adm066051!O6+'gaas 04320'!O6+'Küte 043601'!O6+'küte 043602'!O6+'HV 052001'!O6+'HV 052003'!O6+'HV 052004'!O6+'JV 063001'!O6+'JV 063003'!O6+'JV 063004'!O6+'JV 063005'!O6+'JV 063006'!O6+'JV 063007'!O6+'El 064001'!O6+'EH 066011'!O6+MT066013!O6</f>
        <v>15141.51</v>
      </c>
      <c r="P6" s="9">
        <f>adm066051!P6+'gaas 04320'!P6+'Küte 043601'!P6+'küte 043602'!P6+'HV 052001'!P6+'HV 052003'!P6+'HV 052004'!P6+'JV 063001'!P6+'JV 063003'!P6+'JV 063004'!P6+'JV 063005'!P6+'JV 063006'!P6+'JV 063007'!P6+'El 064001'!P6+'EH 066011'!P6+MT066013!P6</f>
        <v>16609.88</v>
      </c>
      <c r="Q6" s="9">
        <f>adm066051!Q6+'gaas 04320'!Q6+'Küte 043601'!Q6+'küte 043602'!Q6+'HV 052001'!Q6+'HV 052003'!Q6+'HV 052004'!Q6+'JV 063001'!Q6+'JV 063003'!Q6+'JV 063004'!Q6+'JV 063005'!Q6+'JV 063006'!Q6+'JV 063007'!Q6+'El 064001'!Q6+'EH 066011'!Q6+MT066013!Q6</f>
        <v>21544.114999999998</v>
      </c>
      <c r="R6" s="9">
        <f>adm066051!R6+'gaas 04320'!R6+'Küte 043601'!R6+'küte 043602'!R6+'HV 052001'!R6+'HV 052003'!R6+'HV 052004'!R6+'JV 063001'!R6+'JV 063003'!R6+'JV 063004'!R6+'JV 063005'!R6+'JV 063006'!R6+'JV 063007'!R6+'El 064001'!R6+'EH 066011'!R6+MT066013!R6</f>
        <v>17863.769</v>
      </c>
      <c r="S6" s="9">
        <f>adm066051!S6+'gaas 04320'!S6+'Küte 043601'!S6+'küte 043602'!S6+'HV 052001'!S6+'HV 052003'!S6+'HV 052004'!S6+'JV 063001'!S6+'JV 063003'!S6+'JV 063004'!S6+'JV 063005'!S6+'JV 063006'!S6+'JV 063007'!S6+'El 064001'!S6+'EH 066011'!S6+MT066013!S6</f>
        <v>19282.295</v>
      </c>
      <c r="T6" s="9">
        <f>adm066051!T6+'gaas 04320'!T6+'Küte 043601'!T6+'küte 043602'!T6+'HV 052001'!T6+'HV 052003'!T6+'HV 052004'!T6+'JV 063001'!T6+'JV 063003'!T6+'JV 063004'!T6+'JV 063005'!T6+'JV 063006'!T6+'JV 063007'!T6+'El 064001'!T6+'EH 066011'!T6+MT066013!T6</f>
        <v>20837.256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4">
        <f>adm066051!F7+'gaas 04320'!F7+'Küte 043601'!F7+'küte 043602'!F7+'HV 052001'!F7+'HV 052003'!F7+'HV 052004'!F7+'JV 063001'!F7+'JV 063003'!F7+'JV 063004'!F7+'JV 063005'!F7+'JV 063006'!F7+'JV 063007'!F7+'El 064001'!F7+'EH 066011'!F7+MT066013!F7</f>
        <v>8745578.800000003</v>
      </c>
      <c r="G7" s="4">
        <f>adm066051!G7+'gaas 04320'!G7+'Küte 043601'!G7+'küte 043602'!G7+'HV 052001'!G7+'HV 052003'!G7+'HV 052004'!G7+'JV 063001'!G7+'JV 063003'!G7+'JV 063004'!G7+'JV 063005'!G7+'JV 063006'!G7+'JV 063007'!G7+'El 064001'!G7+'EH 066011'!G7+MT066013!G7</f>
        <v>8726939.830000002</v>
      </c>
      <c r="H7" s="10">
        <f t="shared" si="0"/>
        <v>8840996.9084</v>
      </c>
      <c r="I7" s="38">
        <f>adm066051!I7+'gaas 04320'!I7+'Küte 043601'!I7+'küte 043602'!I7+'HV 052001'!I7+'HV 052003'!I7+'HV 052004'!I7+'JV 063001'!I7+'JV 063003'!I7+'JV 063004'!I7+'JV 063005'!I7+'JV 063006'!I7+'JV 063007'!I7+'El 064001'!I7+'EH 066011'!I7+MT066013!I7</f>
        <v>1223392.34</v>
      </c>
      <c r="J7" s="38">
        <f>adm066051!J7+'gaas 04320'!J7+'Küte 043601'!J7+'küte 043602'!J7+'HV 052001'!J7+'HV 052003'!J7+'HV 052004'!J7+'JV 063001'!J7+'JV 063003'!J7+'JV 063004'!J7+'JV 063005'!J7+'JV 063006'!J7+'JV 063007'!J7+'El 064001'!J7+'EH 066011'!J7+MT066013!J7</f>
        <v>1064235.35</v>
      </c>
      <c r="K7" s="38">
        <f>adm066051!K7+'gaas 04320'!K7+'Küte 043601'!K7+'küte 043602'!K7+'HV 052001'!K7+'HV 052003'!K7+'HV 052004'!K7+'JV 063001'!K7+'JV 063003'!K7+'JV 063004'!K7+'JV 063005'!K7+'JV 063006'!K7+'JV 063007'!K7+'El 064001'!K7+'EH 066011'!K7+MT066013!K7</f>
        <v>995615.9600000002</v>
      </c>
      <c r="L7" s="38">
        <f>adm066051!L7+'gaas 04320'!L7+'Küte 043601'!L7+'küte 043602'!L7+'HV 052001'!L7+'HV 052003'!L7+'HV 052004'!L7+'JV 063001'!L7+'JV 063003'!L7+'JV 063004'!L7+'JV 063005'!L7+'JV 063006'!L7+'JV 063007'!L7+'El 064001'!L7+'EH 066011'!L7+MT066013!L7</f>
        <v>686769.3800000001</v>
      </c>
      <c r="M7" s="38">
        <f>adm066051!M7+'gaas 04320'!M7+'Küte 043601'!M7+'küte 043602'!M7+'HV 052001'!M7+'HV 052003'!M7+'HV 052004'!M7+'JV 063001'!M7+'JV 063003'!M7+'JV 063004'!M7+'JV 063005'!M7+'JV 063006'!M7+'JV 063007'!M7+'El 064001'!M7+'EH 066011'!M7+MT066013!M7</f>
        <v>447751.63000000006</v>
      </c>
      <c r="N7" s="13">
        <f>adm066051!N7+'gaas 04320'!N7+'Küte 043601'!N7+'küte 043602'!N7+'HV 052001'!N7+'HV 052003'!N7+'HV 052004'!N7+'JV 063001'!N7+'JV 063003'!N7+'JV 063004'!N7+'JV 063005'!N7+'JV 063006'!N7+'JV 063007'!N7+'El 064001'!N7+'EH 066011'!N7+MT066013!N7</f>
        <v>386796.86999999994</v>
      </c>
      <c r="O7" s="13">
        <f>adm066051!O7+'gaas 04320'!O7+'Küte 043601'!O7+'küte 043602'!O7+'HV 052001'!O7+'HV 052003'!O7+'HV 052004'!O7+'JV 063001'!O7+'JV 063003'!O7+'JV 063004'!O7+'JV 063005'!O7+'JV 063006'!O7+'JV 063007'!O7+'El 064001'!O7+'EH 066011'!O7+MT066013!O7</f>
        <v>292848.20040000003</v>
      </c>
      <c r="P7" s="13">
        <f>adm066051!P7+'gaas 04320'!P7+'Küte 043601'!P7+'küte 043602'!P7+'HV 052001'!P7+'HV 052003'!P7+'HV 052004'!P7+'JV 063001'!P7+'JV 063003'!P7+'JV 063004'!P7+'JV 063005'!P7+'JV 063006'!P7+'JV 063007'!P7+'El 064001'!P7+'EH 066011'!P7+MT066013!P7</f>
        <v>322033.17640000005</v>
      </c>
      <c r="Q7" s="13">
        <f>adm066051!Q7+'gaas 04320'!Q7+'Küte 043601'!Q7+'küte 043602'!Q7+'HV 052001'!Q7+'HV 052003'!Q7+'HV 052004'!Q7+'JV 063001'!Q7+'JV 063003'!Q7+'JV 063004'!Q7+'JV 063005'!Q7+'JV 063006'!Q7+'JV 063007'!Q7+'El 064001'!Q7+'EH 066011'!Q7+MT066013!Q7</f>
        <v>490382.4099999999</v>
      </c>
      <c r="R7" s="13">
        <f>adm066051!R7+'gaas 04320'!R7+'Küte 043601'!R7+'küte 043602'!R7+'HV 052001'!R7+'HV 052003'!R7+'HV 052004'!R7+'JV 063001'!R7+'JV 063003'!R7+'JV 063004'!R7+'JV 063005'!R7+'JV 063006'!R7+'JV 063007'!R7+'El 064001'!R7+'EH 066011'!R7+MT066013!R7</f>
        <v>778980.6015999999</v>
      </c>
      <c r="S7" s="13">
        <f>adm066051!S7+'gaas 04320'!S7+'Küte 043601'!S7+'küte 043602'!S7+'HV 052001'!S7+'HV 052003'!S7+'HV 052004'!S7+'JV 063001'!S7+'JV 063003'!S7+'JV 063004'!S7+'JV 063005'!S7+'JV 063006'!S7+'JV 063007'!S7+'El 064001'!S7+'EH 066011'!S7+MT066013!S7</f>
        <v>897236.3</v>
      </c>
      <c r="T7" s="13">
        <f>adm066051!T7+'gaas 04320'!T7+'Küte 043601'!T7+'küte 043602'!T7+'HV 052001'!T7+'HV 052003'!T7+'HV 052004'!T7+'JV 063001'!T7+'JV 063003'!T7+'JV 063004'!T7+'JV 063005'!T7+'JV 063006'!T7+'JV 063007'!T7+'El 064001'!T7+'EH 066011'!T7+MT066013!T7</f>
        <v>1254954.6899999995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adm066051!F8+'gaas 04320'!F8+'Küte 043601'!F8+'küte 043602'!F8+'HV 052001'!F8+'HV 052003'!F8+'HV 052004'!F8+'JV 063001'!F8+'JV 063003'!F8+'JV 063004'!F8+'JV 063005'!F8+'JV 063006'!F8+'JV 063007'!F8+'El 064001'!F8+'EH 066011'!F8+MT066013!F8</f>
        <v>940313.01</v>
      </c>
      <c r="G8" s="4">
        <f>adm066051!G8+'gaas 04320'!G8+'Küte 043601'!G8+'küte 043602'!G8+'HV 052001'!G8+'HV 052003'!G8+'HV 052004'!G8+'JV 063001'!G8+'JV 063003'!G8+'JV 063004'!G8+'JV 063005'!G8+'JV 063006'!G8+'JV 063007'!G8+'El 064001'!G8+'EH 066011'!G8+MT066013!G8</f>
        <v>1255193.7600000002</v>
      </c>
      <c r="H8" s="7">
        <f t="shared" si="0"/>
        <v>1505788.9600000002</v>
      </c>
      <c r="I8" s="40">
        <f>adm066051!I8+'gaas 04320'!I8+'Küte 043601'!I8+'küte 043602'!I8+'HV 052001'!I8+'HV 052003'!I8+'HV 052004'!I8+'JV 063001'!I8+'JV 063003'!I8+'JV 063004'!I8+'JV 063005'!I8+'JV 063006'!I8+'JV 063007'!I8+'El 064001'!I8+'EH 066011'!I8+MT066013!I8</f>
        <v>120931.33</v>
      </c>
      <c r="J8" s="40">
        <f>adm066051!J8+'gaas 04320'!J8+'Küte 043601'!J8+'küte 043602'!J8+'HV 052001'!J8+'HV 052003'!J8+'HV 052004'!J8+'JV 063001'!J8+'JV 063003'!J8+'JV 063004'!J8+'JV 063005'!J8+'JV 063006'!J8+'JV 063007'!J8+'El 064001'!J8+'EH 066011'!J8+MT066013!J8</f>
        <v>120931.33</v>
      </c>
      <c r="K8" s="40">
        <f>adm066051!K8+'gaas 04320'!K8+'Küte 043601'!K8+'küte 043602'!K8+'HV 052001'!K8+'HV 052003'!K8+'HV 052004'!K8+'JV 063001'!K8+'JV 063003'!K8+'JV 063004'!K8+'JV 063005'!K8+'JV 063006'!K8+'JV 063007'!K8+'El 064001'!K8+'EH 066011'!K8+MT066013!K8</f>
        <v>120931.33</v>
      </c>
      <c r="L8" s="40">
        <f>adm066051!L8+'gaas 04320'!L8+'Küte 043601'!L8+'küte 043602'!L8+'HV 052001'!L8+'HV 052003'!L8+'HV 052004'!L8+'JV 063001'!L8+'JV 063003'!L8+'JV 063004'!L8+'JV 063005'!L8+'JV 063006'!L8+'JV 063007'!L8+'El 064001'!L8+'EH 066011'!L8+MT066013!L8</f>
        <v>120931.33</v>
      </c>
      <c r="M8" s="40">
        <f>adm066051!M8+'gaas 04320'!M8+'Küte 043601'!M8+'küte 043602'!M8+'HV 052001'!M8+'HV 052003'!M8+'HV 052004'!M8+'JV 063001'!M8+'JV 063003'!M8+'JV 063004'!M8+'JV 063005'!M8+'JV 063006'!M8+'JV 063007'!M8+'El 064001'!M8+'EH 066011'!M8+MT066013!M8</f>
        <v>120931.33</v>
      </c>
      <c r="N8" s="4">
        <f>adm066051!N8+'gaas 04320'!N8+'Küte 043601'!N8+'küte 043602'!N8+'HV 052001'!N8+'HV 052003'!N8+'HV 052004'!N8+'JV 063001'!N8+'JV 063003'!N8+'JV 063004'!N8+'JV 063005'!N8+'JV 063006'!N8+'JV 063007'!N8+'El 064001'!N8+'EH 066011'!N8+MT066013!N8</f>
        <v>120931.33</v>
      </c>
      <c r="O8" s="4">
        <f>adm066051!O8+'gaas 04320'!O8+'Küte 043601'!O8+'küte 043602'!O8+'HV 052001'!O8+'HV 052003'!O8+'HV 052004'!O8+'JV 063001'!O8+'JV 063003'!O8+'JV 063004'!O8+'JV 063005'!O8+'JV 063006'!O8+'JV 063007'!O8+'El 064001'!O8+'EH 066011'!O8+MT066013!O8</f>
        <v>120931.33</v>
      </c>
      <c r="P8" s="4">
        <f>adm066051!P8+'gaas 04320'!P8+'Küte 043601'!P8+'küte 043602'!P8+'HV 052001'!P8+'HV 052003'!P8+'HV 052004'!P8+'JV 063001'!P8+'JV 063003'!P8+'JV 063004'!P8+'JV 063005'!P8+'JV 063006'!P8+'JV 063007'!P8+'El 064001'!P8+'EH 066011'!P8+MT066013!P8</f>
        <v>131467.33000000002</v>
      </c>
      <c r="Q8" s="4">
        <f>adm066051!Q8+'gaas 04320'!Q8+'Küte 043601'!Q8+'küte 043602'!Q8+'HV 052001'!Q8+'HV 052003'!Q8+'HV 052004'!Q8+'JV 063001'!Q8+'JV 063003'!Q8+'JV 063004'!Q8+'JV 063005'!Q8+'JV 063006'!Q8+'JV 063007'!Q8+'El 064001'!Q8+'EH 066011'!Q8+MT066013!Q8</f>
        <v>131467.33000000002</v>
      </c>
      <c r="R8" s="4">
        <f>adm066051!R8+'gaas 04320'!R8+'Küte 043601'!R8+'küte 043602'!R8+'HV 052001'!R8+'HV 052003'!R8+'HV 052004'!R8+'JV 063001'!R8+'JV 063003'!R8+'JV 063004'!R8+'JV 063005'!R8+'JV 063006'!R8+'JV 063007'!R8+'El 064001'!R8+'EH 066011'!R8+MT066013!R8</f>
        <v>131467.33000000002</v>
      </c>
      <c r="S8" s="4">
        <f>adm066051!S8+'gaas 04320'!S8+'Küte 043601'!S8+'küte 043602'!S8+'HV 052001'!S8+'HV 052003'!S8+'HV 052004'!S8+'JV 063001'!S8+'JV 063003'!S8+'JV 063004'!S8+'JV 063005'!S8+'JV 063006'!S8+'JV 063007'!S8+'El 064001'!S8+'EH 066011'!S8+MT066013!S8</f>
        <v>131467.33000000002</v>
      </c>
      <c r="T8" s="4">
        <f>adm066051!T8+'gaas 04320'!T8+'Küte 043601'!T8+'küte 043602'!T8+'HV 052001'!T8+'HV 052003'!T8+'HV 052004'!T8+'JV 063001'!T8+'JV 063003'!T8+'JV 063004'!T8+'JV 063005'!T8+'JV 063006'!T8+'JV 063007'!T8+'El 064001'!T8+'EH 066011'!T8+MT066013!T8</f>
        <v>133400.33000000002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adm066051!F9+'gaas 04320'!F9+'Küte 043601'!F9+'küte 043602'!F9+'HV 052001'!F9+'HV 052003'!F9+'HV 052004'!F9+'JV 063001'!F9+'JV 063003'!F9+'JV 063004'!F9+'JV 063005'!F9+'JV 063006'!F9+'JV 063007'!F9+'El 064001'!F9+'EH 066011'!F9+MT066013!F9</f>
        <v>287321.00999999995</v>
      </c>
      <c r="G9" s="4">
        <f>adm066051!G9+'gaas 04320'!G9+'Küte 043601'!G9+'küte 043602'!G9+'HV 052001'!G9+'HV 052003'!G9+'HV 052004'!G9+'JV 063001'!G9+'JV 063003'!G9+'JV 063004'!G9+'JV 063005'!G9+'JV 063006'!G9+'JV 063007'!G9+'El 064001'!G9+'EH 066011'!G9+MT066013!G9</f>
        <v>424583.42999999993</v>
      </c>
      <c r="H9" s="7">
        <f t="shared" si="0"/>
        <v>2700</v>
      </c>
      <c r="I9" s="40">
        <f>adm066051!I9+'gaas 04320'!I9+'Küte 043601'!I9+'küte 043602'!I9+'HV 052001'!I9+'HV 052003'!I9+'HV 052004'!I9+'JV 063001'!I9+'JV 063003'!I9+'JV 063004'!I9+'JV 063005'!I9+'JV 063006'!I9+'JV 063007'!I9+'El 064001'!I9+'EH 066011'!I9+MT066013!I9</f>
        <v>225</v>
      </c>
      <c r="J9" s="40">
        <f>adm066051!J9+'gaas 04320'!J9+'Küte 043601'!J9+'küte 043602'!J9+'HV 052001'!J9+'HV 052003'!J9+'HV 052004'!J9+'JV 063001'!J9+'JV 063003'!J9+'JV 063004'!J9+'JV 063005'!J9+'JV 063006'!J9+'JV 063007'!J9+'El 064001'!J9+'EH 066011'!J9+MT066013!J9</f>
        <v>225</v>
      </c>
      <c r="K9" s="40">
        <f>adm066051!K9+'gaas 04320'!K9+'Küte 043601'!K9+'küte 043602'!K9+'HV 052001'!K9+'HV 052003'!K9+'HV 052004'!K9+'JV 063001'!K9+'JV 063003'!K9+'JV 063004'!K9+'JV 063005'!K9+'JV 063006'!K9+'JV 063007'!K9+'El 064001'!K9+'EH 066011'!K9+MT066013!K9</f>
        <v>225</v>
      </c>
      <c r="L9" s="40">
        <f>adm066051!L9+'gaas 04320'!L9+'Küte 043601'!L9+'küte 043602'!L9+'HV 052001'!L9+'HV 052003'!L9+'HV 052004'!L9+'JV 063001'!L9+'JV 063003'!L9+'JV 063004'!L9+'JV 063005'!L9+'JV 063006'!L9+'JV 063007'!L9+'El 064001'!L9+'EH 066011'!L9+MT066013!L9</f>
        <v>225</v>
      </c>
      <c r="M9" s="40">
        <f>adm066051!M9+'gaas 04320'!M9+'Küte 043601'!M9+'küte 043602'!M9+'HV 052001'!M9+'HV 052003'!M9+'HV 052004'!M9+'JV 063001'!M9+'JV 063003'!M9+'JV 063004'!M9+'JV 063005'!M9+'JV 063006'!M9+'JV 063007'!M9+'El 064001'!M9+'EH 066011'!M9+MT066013!M9</f>
        <v>225</v>
      </c>
      <c r="N9" s="4">
        <f>adm066051!N9+'gaas 04320'!N9+'Küte 043601'!N9+'küte 043602'!N9+'HV 052001'!N9+'HV 052003'!N9+'HV 052004'!N9+'JV 063001'!N9+'JV 063003'!N9+'JV 063004'!N9+'JV 063005'!N9+'JV 063006'!N9+'JV 063007'!N9+'El 064001'!N9+'EH 066011'!N9+MT066013!N9</f>
        <v>225</v>
      </c>
      <c r="O9" s="4">
        <f>adm066051!O9+'gaas 04320'!O9+'Küte 043601'!O9+'küte 043602'!O9+'HV 052001'!O9+'HV 052003'!O9+'HV 052004'!O9+'JV 063001'!O9+'JV 063003'!O9+'JV 063004'!O9+'JV 063005'!O9+'JV 063006'!O9+'JV 063007'!O9+'El 064001'!O9+'EH 066011'!O9+MT066013!O9</f>
        <v>225</v>
      </c>
      <c r="P9" s="4">
        <f>adm066051!P9+'gaas 04320'!P9+'Küte 043601'!P9+'küte 043602'!P9+'HV 052001'!P9+'HV 052003'!P9+'HV 052004'!P9+'JV 063001'!P9+'JV 063003'!P9+'JV 063004'!P9+'JV 063005'!P9+'JV 063006'!P9+'JV 063007'!P9+'El 064001'!P9+'EH 066011'!P9+MT066013!P9</f>
        <v>225</v>
      </c>
      <c r="Q9" s="4">
        <f>adm066051!Q9+'gaas 04320'!Q9+'Küte 043601'!Q9+'küte 043602'!Q9+'HV 052001'!Q9+'HV 052003'!Q9+'HV 052004'!Q9+'JV 063001'!Q9+'JV 063003'!Q9+'JV 063004'!Q9+'JV 063005'!Q9+'JV 063006'!Q9+'JV 063007'!Q9+'El 064001'!Q9+'EH 066011'!Q9+MT066013!Q9</f>
        <v>225</v>
      </c>
      <c r="R9" s="4">
        <f>adm066051!R9+'gaas 04320'!R9+'Küte 043601'!R9+'küte 043602'!R9+'HV 052001'!R9+'HV 052003'!R9+'HV 052004'!R9+'JV 063001'!R9+'JV 063003'!R9+'JV 063004'!R9+'JV 063005'!R9+'JV 063006'!R9+'JV 063007'!R9+'El 064001'!R9+'EH 066011'!R9+MT066013!R9</f>
        <v>225</v>
      </c>
      <c r="S9" s="4">
        <f>adm066051!S9+'gaas 04320'!S9+'Küte 043601'!S9+'küte 043602'!S9+'HV 052001'!S9+'HV 052003'!S9+'HV 052004'!S9+'JV 063001'!S9+'JV 063003'!S9+'JV 063004'!S9+'JV 063005'!S9+'JV 063006'!S9+'JV 063007'!S9+'El 064001'!S9+'EH 066011'!S9+MT066013!S9</f>
        <v>225</v>
      </c>
      <c r="T9" s="4">
        <f>adm066051!T9+'gaas 04320'!T9+'Küte 043601'!T9+'küte 043602'!T9+'HV 052001'!T9+'HV 052003'!T9+'HV 052004'!T9+'JV 063001'!T9+'JV 063003'!T9+'JV 063004'!T9+'JV 063005'!T9+'JV 063006'!T9+'JV 063007'!T9+'El 064001'!T9+'EH 066011'!T9+MT066013!T9</f>
        <v>225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4">
        <f>adm066051!F10+'gaas 04320'!F10+'Küte 043601'!F10+'küte 043602'!F10+'HV 052001'!F10+'HV 052003'!F10+'HV 052004'!F10+'JV 063001'!F10+'JV 063003'!F10+'JV 063004'!F10+'JV 063005'!F10+'JV 063006'!F10+'JV 063007'!F10+'El 064001'!F10+'EH 066011'!F10+MT066013!F10</f>
        <v>287321.00999999995</v>
      </c>
      <c r="G10" s="4">
        <f>adm066051!G10+'gaas 04320'!G10+'Küte 043601'!G10+'küte 043602'!G10+'HV 052001'!G10+'HV 052003'!G10+'HV 052004'!G10+'JV 063001'!G10+'JV 063003'!G10+'JV 063004'!G10+'JV 063005'!G10+'JV 063006'!G10+'JV 063007'!G10+'El 064001'!G10+'EH 066011'!G10+MT066013!G10</f>
        <v>424583.42999999993</v>
      </c>
      <c r="H10" s="10">
        <f t="shared" si="0"/>
        <v>2700</v>
      </c>
      <c r="I10" s="38">
        <f>adm066051!I10+'gaas 04320'!I10+'Küte 043601'!I10+'küte 043602'!I10+'HV 052001'!I10+'HV 052003'!I10+'HV 052004'!I10+'JV 063001'!I10+'JV 063003'!I10+'JV 063004'!I10+'JV 063005'!I10+'JV 063006'!I10+'JV 063007'!I10+'El 064001'!I10+'EH 066011'!I10+MT066013!I10</f>
        <v>225</v>
      </c>
      <c r="J10" s="38">
        <f>adm066051!J10+'gaas 04320'!J10+'Küte 043601'!J10+'küte 043602'!J10+'HV 052001'!J10+'HV 052003'!J10+'HV 052004'!J10+'JV 063001'!J10+'JV 063003'!J10+'JV 063004'!J10+'JV 063005'!J10+'JV 063006'!J10+'JV 063007'!J10+'El 064001'!J10+'EH 066011'!J10+MT066013!J10</f>
        <v>225</v>
      </c>
      <c r="K10" s="38">
        <f>adm066051!K10+'gaas 04320'!K10+'Küte 043601'!K10+'küte 043602'!K10+'HV 052001'!K10+'HV 052003'!K10+'HV 052004'!K10+'JV 063001'!K10+'JV 063003'!K10+'JV 063004'!K10+'JV 063005'!K10+'JV 063006'!K10+'JV 063007'!K10+'El 064001'!K10+'EH 066011'!K10+MT066013!K10</f>
        <v>225</v>
      </c>
      <c r="L10" s="38">
        <f>adm066051!L10+'gaas 04320'!L10+'Küte 043601'!L10+'küte 043602'!L10+'HV 052001'!L10+'HV 052003'!L10+'HV 052004'!L10+'JV 063001'!L10+'JV 063003'!L10+'JV 063004'!L10+'JV 063005'!L10+'JV 063006'!L10+'JV 063007'!L10+'El 064001'!L10+'EH 066011'!L10+MT066013!L10</f>
        <v>225</v>
      </c>
      <c r="M10" s="38">
        <f>adm066051!M10+'gaas 04320'!M10+'Küte 043601'!M10+'küte 043602'!M10+'HV 052001'!M10+'HV 052003'!M10+'HV 052004'!M10+'JV 063001'!M10+'JV 063003'!M10+'JV 063004'!M10+'JV 063005'!M10+'JV 063006'!M10+'JV 063007'!M10+'El 064001'!M10+'EH 066011'!M10+MT066013!M10</f>
        <v>225</v>
      </c>
      <c r="N10" s="13">
        <f>adm066051!N10+'gaas 04320'!N10+'Küte 043601'!N10+'küte 043602'!N10+'HV 052001'!N10+'HV 052003'!N10+'HV 052004'!N10+'JV 063001'!N10+'JV 063003'!N10+'JV 063004'!N10+'JV 063005'!N10+'JV 063006'!N10+'JV 063007'!N10+'El 064001'!N10+'EH 066011'!N10+MT066013!N10</f>
        <v>225</v>
      </c>
      <c r="O10" s="13">
        <f>adm066051!O10+'gaas 04320'!O10+'Küte 043601'!O10+'küte 043602'!O10+'HV 052001'!O10+'HV 052003'!O10+'HV 052004'!O10+'JV 063001'!O10+'JV 063003'!O10+'JV 063004'!O10+'JV 063005'!O10+'JV 063006'!O10+'JV 063007'!O10+'El 064001'!O10+'EH 066011'!O10+MT066013!O10</f>
        <v>225</v>
      </c>
      <c r="P10" s="13">
        <f>adm066051!P10+'gaas 04320'!P10+'Küte 043601'!P10+'küte 043602'!P10+'HV 052001'!P10+'HV 052003'!P10+'HV 052004'!P10+'JV 063001'!P10+'JV 063003'!P10+'JV 063004'!P10+'JV 063005'!P10+'JV 063006'!P10+'JV 063007'!P10+'El 064001'!P10+'EH 066011'!P10+MT066013!P10</f>
        <v>225</v>
      </c>
      <c r="Q10" s="13">
        <f>adm066051!Q10+'gaas 04320'!Q10+'Küte 043601'!Q10+'küte 043602'!Q10+'HV 052001'!Q10+'HV 052003'!Q10+'HV 052004'!Q10+'JV 063001'!Q10+'JV 063003'!Q10+'JV 063004'!Q10+'JV 063005'!Q10+'JV 063006'!Q10+'JV 063007'!Q10+'El 064001'!Q10+'EH 066011'!Q10+MT066013!Q10</f>
        <v>225</v>
      </c>
      <c r="R10" s="13">
        <f>adm066051!R10+'gaas 04320'!R10+'Küte 043601'!R10+'küte 043602'!R10+'HV 052001'!R10+'HV 052003'!R10+'HV 052004'!R10+'JV 063001'!R10+'JV 063003'!R10+'JV 063004'!R10+'JV 063005'!R10+'JV 063006'!R10+'JV 063007'!R10+'El 064001'!R10+'EH 066011'!R10+MT066013!R10</f>
        <v>225</v>
      </c>
      <c r="S10" s="13">
        <f>adm066051!S10+'gaas 04320'!S10+'Küte 043601'!S10+'küte 043602'!S10+'HV 052001'!S10+'HV 052003'!S10+'HV 052004'!S10+'JV 063001'!S10+'JV 063003'!S10+'JV 063004'!S10+'JV 063005'!S10+'JV 063006'!S10+'JV 063007'!S10+'El 064001'!S10+'EH 066011'!S10+MT066013!S10</f>
        <v>225</v>
      </c>
      <c r="T10" s="13">
        <f>adm066051!T10+'gaas 04320'!T10+'Küte 043601'!T10+'küte 043602'!T10+'HV 052001'!T10+'HV 052003'!T10+'HV 052004'!T10+'JV 063001'!T10+'JV 063003'!T10+'JV 063004'!T10+'JV 063005'!T10+'JV 063006'!T10+'JV 063007'!T10+'El 064001'!T10+'EH 066011'!T10+MT066013!T10</f>
        <v>225</v>
      </c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f>adm066051!F11+'gaas 04320'!F11+'Küte 043601'!F11+'küte 043602'!F11+'HV 052001'!F11+'HV 052003'!F11+'HV 052004'!F11+'JV 063001'!F11+'JV 063003'!F11+'JV 063004'!F11+'JV 063005'!F11+'JV 063006'!F11+'JV 063007'!F11+'El 064001'!F11+'EH 066011'!F11+MT066013!F11</f>
        <v>652992</v>
      </c>
      <c r="G11" s="4">
        <f>adm066051!G11+'gaas 04320'!G11+'Küte 043601'!G11+'küte 043602'!G11+'HV 052001'!G11+'HV 052003'!G11+'HV 052004'!G11+'JV 063001'!G11+'JV 063003'!G11+'JV 063004'!G11+'JV 063005'!G11+'JV 063006'!G11+'JV 063007'!G11+'El 064001'!G11+'EH 066011'!G11+MT066013!G11</f>
        <v>830610.33</v>
      </c>
      <c r="H11" s="7">
        <f t="shared" si="0"/>
        <v>1503088.9600000002</v>
      </c>
      <c r="I11" s="40">
        <f>adm066051!I11+'gaas 04320'!I11+'Küte 043601'!I11+'küte 043602'!I11+'HV 052001'!I11+'HV 052003'!I11+'HV 052004'!I11+'JV 063001'!I11+'JV 063003'!I11+'JV 063004'!I11+'JV 063005'!I11+'JV 063006'!I11+'JV 063007'!I11+'El 064001'!I11+'EH 066011'!I11+MT066013!I11</f>
        <v>120706.33</v>
      </c>
      <c r="J11" s="40">
        <f>adm066051!J11+'gaas 04320'!J11+'Küte 043601'!J11+'küte 043602'!J11+'HV 052001'!J11+'HV 052003'!J11+'HV 052004'!J11+'JV 063001'!J11+'JV 063003'!J11+'JV 063004'!J11+'JV 063005'!J11+'JV 063006'!J11+'JV 063007'!J11+'El 064001'!J11+'EH 066011'!J11+MT066013!J11</f>
        <v>120706.33</v>
      </c>
      <c r="K11" s="40">
        <f>adm066051!K11+'gaas 04320'!K11+'Küte 043601'!K11+'küte 043602'!K11+'HV 052001'!K11+'HV 052003'!K11+'HV 052004'!K11+'JV 063001'!K11+'JV 063003'!K11+'JV 063004'!K11+'JV 063005'!K11+'JV 063006'!K11+'JV 063007'!K11+'El 064001'!K11+'EH 066011'!K11+MT066013!K11</f>
        <v>120706.33</v>
      </c>
      <c r="L11" s="40">
        <f>adm066051!L11+'gaas 04320'!L11+'Küte 043601'!L11+'küte 043602'!L11+'HV 052001'!L11+'HV 052003'!L11+'HV 052004'!L11+'JV 063001'!L11+'JV 063003'!L11+'JV 063004'!L11+'JV 063005'!L11+'JV 063006'!L11+'JV 063007'!L11+'El 064001'!L11+'EH 066011'!L11+MT066013!L11</f>
        <v>120706.33</v>
      </c>
      <c r="M11" s="40">
        <f>adm066051!M11+'gaas 04320'!M11+'Küte 043601'!M11+'küte 043602'!M11+'HV 052001'!M11+'HV 052003'!M11+'HV 052004'!M11+'JV 063001'!M11+'JV 063003'!M11+'JV 063004'!M11+'JV 063005'!M11+'JV 063006'!M11+'JV 063007'!M11+'El 064001'!M11+'EH 066011'!M11+MT066013!M11</f>
        <v>120706.33</v>
      </c>
      <c r="N11" s="4">
        <f>adm066051!N11+'gaas 04320'!N11+'Küte 043601'!N11+'küte 043602'!N11+'HV 052001'!N11+'HV 052003'!N11+'HV 052004'!N11+'JV 063001'!N11+'JV 063003'!N11+'JV 063004'!N11+'JV 063005'!N11+'JV 063006'!N11+'JV 063007'!N11+'El 064001'!N11+'EH 066011'!N11+MT066013!N11</f>
        <v>120706.33</v>
      </c>
      <c r="O11" s="4">
        <f>adm066051!O11+'gaas 04320'!O11+'Küte 043601'!O11+'küte 043602'!O11+'HV 052001'!O11+'HV 052003'!O11+'HV 052004'!O11+'JV 063001'!O11+'JV 063003'!O11+'JV 063004'!O11+'JV 063005'!O11+'JV 063006'!O11+'JV 063007'!O11+'El 064001'!O11+'EH 066011'!O11+MT066013!O11</f>
        <v>120706.33</v>
      </c>
      <c r="P11" s="4">
        <f>adm066051!P11+'gaas 04320'!P11+'Küte 043601'!P11+'küte 043602'!P11+'HV 052001'!P11+'HV 052003'!P11+'HV 052004'!P11+'JV 063001'!P11+'JV 063003'!P11+'JV 063004'!P11+'JV 063005'!P11+'JV 063006'!P11+'JV 063007'!P11+'El 064001'!P11+'EH 066011'!P11+MT066013!P11</f>
        <v>131242.33000000002</v>
      </c>
      <c r="Q11" s="4">
        <f>adm066051!Q11+'gaas 04320'!Q11+'Küte 043601'!Q11+'küte 043602'!Q11+'HV 052001'!Q11+'HV 052003'!Q11+'HV 052004'!Q11+'JV 063001'!Q11+'JV 063003'!Q11+'JV 063004'!Q11+'JV 063005'!Q11+'JV 063006'!Q11+'JV 063007'!Q11+'El 064001'!Q11+'EH 066011'!Q11+MT066013!Q11</f>
        <v>131242.33000000002</v>
      </c>
      <c r="R11" s="4">
        <f>adm066051!R11+'gaas 04320'!R11+'Küte 043601'!R11+'küte 043602'!R11+'HV 052001'!R11+'HV 052003'!R11+'HV 052004'!R11+'JV 063001'!R11+'JV 063003'!R11+'JV 063004'!R11+'JV 063005'!R11+'JV 063006'!R11+'JV 063007'!R11+'El 064001'!R11+'EH 066011'!R11+MT066013!R11</f>
        <v>131242.33000000002</v>
      </c>
      <c r="S11" s="4">
        <f>adm066051!S11+'gaas 04320'!S11+'Küte 043601'!S11+'küte 043602'!S11+'HV 052001'!S11+'HV 052003'!S11+'HV 052004'!S11+'JV 063001'!S11+'JV 063003'!S11+'JV 063004'!S11+'JV 063005'!S11+'JV 063006'!S11+'JV 063007'!S11+'El 064001'!S11+'EH 066011'!S11+MT066013!S11</f>
        <v>131242.33000000002</v>
      </c>
      <c r="T11" s="4">
        <f>adm066051!T11+'gaas 04320'!T11+'Küte 043601'!T11+'küte 043602'!T11+'HV 052001'!T11+'HV 052003'!T11+'HV 052004'!T11+'JV 063001'!T11+'JV 063003'!T11+'JV 063004'!T11+'JV 063005'!T11+'JV 063006'!T11+'JV 063007'!T11+'El 064001'!T11+'EH 066011'!T11+MT066013!T11</f>
        <v>133175.33000000002</v>
      </c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adm066051!F12+'gaas 04320'!F12+'Küte 043601'!F12+'küte 043602'!F12+'HV 052001'!F12+'HV 052003'!F12+'HV 052004'!F12+'JV 063001'!F12+'JV 063003'!F12+'JV 063004'!F12+'JV 063005'!F12+'JV 063006'!F12+'JV 063007'!F12+'El 064001'!F12+'EH 066011'!F12+MT066013!F12</f>
        <v>4000</v>
      </c>
      <c r="G12" s="4">
        <f>adm066051!G12+'gaas 04320'!G12+'Küte 043601'!G12+'küte 043602'!G12+'HV 052001'!G12+'HV 052003'!G12+'HV 052004'!G12+'JV 063001'!G12+'JV 063003'!G12+'JV 063004'!G12+'JV 063005'!G12+'JV 063006'!G12+'JV 063007'!G12+'El 064001'!G12+'EH 066011'!G12+MT066013!G12</f>
        <v>847.45</v>
      </c>
      <c r="H12" s="7">
        <f t="shared" si="0"/>
        <v>512972.92000000004</v>
      </c>
      <c r="I12" s="40">
        <f>adm066051!I12+'gaas 04320'!I12+'Küte 043601'!I12+'küte 043602'!I12+'HV 052001'!I12+'HV 052003'!I12+'HV 052004'!I12+'JV 063001'!I12+'JV 063003'!I12+'JV 063004'!I12+'JV 063005'!I12+'JV 063006'!I12+'JV 063007'!I12+'El 064001'!I12+'EH 066011'!I12+MT066013!I12</f>
        <v>0</v>
      </c>
      <c r="J12" s="40">
        <f>adm066051!J12+'gaas 04320'!J12+'Küte 043601'!J12+'küte 043602'!J12+'HV 052001'!J12+'HV 052003'!J12+'HV 052004'!J12+'JV 063001'!J12+'JV 063003'!J12+'JV 063004'!J12+'JV 063005'!J12+'JV 063006'!J12+'JV 063007'!J12+'El 064001'!J12+'EH 066011'!J12+MT066013!J12</f>
        <v>0</v>
      </c>
      <c r="K12" s="40">
        <f>adm066051!K12+'gaas 04320'!K12+'Küte 043601'!K12+'küte 043602'!K12+'HV 052001'!K12+'HV 052003'!K12+'HV 052004'!K12+'JV 063001'!K12+'JV 063003'!K12+'JV 063004'!K12+'JV 063005'!K12+'JV 063006'!K12+'JV 063007'!K12+'El 064001'!K12+'EH 066011'!K12+MT066013!K12</f>
        <v>0</v>
      </c>
      <c r="L12" s="40">
        <f>adm066051!L12+'gaas 04320'!L12+'Küte 043601'!L12+'küte 043602'!L12+'HV 052001'!L12+'HV 052003'!L12+'HV 052004'!L12+'JV 063001'!L12+'JV 063003'!L12+'JV 063004'!L12+'JV 063005'!L12+'JV 063006'!L12+'JV 063007'!L12+'El 064001'!L12+'EH 066011'!L12+MT066013!L12</f>
        <v>90316.41</v>
      </c>
      <c r="M12" s="40">
        <f>adm066051!M12+'gaas 04320'!M12+'Küte 043601'!M12+'küte 043602'!M12+'HV 052001'!M12+'HV 052003'!M12+'HV 052004'!M12+'JV 063001'!M12+'JV 063003'!M12+'JV 063004'!M12+'JV 063005'!M12+'JV 063006'!M12+'JV 063007'!M12+'El 064001'!M12+'EH 066011'!M12+MT066013!M12</f>
        <v>267165.48</v>
      </c>
      <c r="N12" s="4">
        <f>adm066051!N12+'gaas 04320'!N12+'Küte 043601'!N12+'küte 043602'!N12+'HV 052001'!N12+'HV 052003'!N12+'HV 052004'!N12+'JV 063001'!N12+'JV 063003'!N12+'JV 063004'!N12+'JV 063005'!N12+'JV 063006'!N12+'JV 063007'!N12+'El 064001'!N12+'EH 066011'!N12+MT066013!N12</f>
        <v>0</v>
      </c>
      <c r="O12" s="4">
        <f>adm066051!O12+'gaas 04320'!O12+'Küte 043601'!O12+'küte 043602'!O12+'HV 052001'!O12+'HV 052003'!O12+'HV 052004'!O12+'JV 063001'!O12+'JV 063003'!O12+'JV 063004'!O12+'JV 063005'!O12+'JV 063006'!O12+'JV 063007'!O12+'El 064001'!O12+'EH 066011'!O12+MT066013!O12</f>
        <v>0</v>
      </c>
      <c r="P12" s="4">
        <f>adm066051!P12+'gaas 04320'!P12+'Küte 043601'!P12+'küte 043602'!P12+'HV 052001'!P12+'HV 052003'!P12+'HV 052004'!P12+'JV 063001'!P12+'JV 063003'!P12+'JV 063004'!P12+'JV 063005'!P12+'JV 063006'!P12+'JV 063007'!P12+'El 064001'!P12+'EH 066011'!P12+MT066013!P12</f>
        <v>0</v>
      </c>
      <c r="Q12" s="4">
        <f>adm066051!Q12+'gaas 04320'!Q12+'Küte 043601'!Q12+'küte 043602'!Q12+'HV 052001'!Q12+'HV 052003'!Q12+'HV 052004'!Q12+'JV 063001'!Q12+'JV 063003'!Q12+'JV 063004'!Q12+'JV 063005'!Q12+'JV 063006'!Q12+'JV 063007'!Q12+'El 064001'!Q12+'EH 066011'!Q12+MT066013!Q12</f>
        <v>155491.03</v>
      </c>
      <c r="R12" s="4">
        <f>adm066051!R12+'gaas 04320'!R12+'Küte 043601'!R12+'küte 043602'!R12+'HV 052001'!R12+'HV 052003'!R12+'HV 052004'!R12+'JV 063001'!R12+'JV 063003'!R12+'JV 063004'!R12+'JV 063005'!R12+'JV 063006'!R12+'JV 063007'!R12+'El 064001'!R12+'EH 066011'!R12+MT066013!R12</f>
        <v>0</v>
      </c>
      <c r="S12" s="4">
        <f>adm066051!S12+'gaas 04320'!S12+'Küte 043601'!S12+'küte 043602'!S12+'HV 052001'!S12+'HV 052003'!S12+'HV 052004'!S12+'JV 063001'!S12+'JV 063003'!S12+'JV 063004'!S12+'JV 063005'!S12+'JV 063006'!S12+'JV 063007'!S12+'El 064001'!S12+'EH 066011'!S12+MT066013!S12</f>
        <v>0</v>
      </c>
      <c r="T12" s="4">
        <f>adm066051!T12+'gaas 04320'!T12+'Küte 043601'!T12+'küte 043602'!T12+'HV 052001'!T12+'HV 052003'!T12+'HV 052004'!T12+'JV 063001'!T12+'JV 063003'!T12+'JV 063004'!T12+'JV 063005'!T12+'JV 063006'!T12+'JV 063007'!T12+'El 064001'!T12+'EH 066011'!T12+MT066013!T12</f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adm066051!F13+'gaas 04320'!F13+'Küte 043601'!F13+'küte 043602'!F13+'HV 052001'!F13+'HV 052003'!F13+'HV 052004'!F13+'JV 063001'!F13+'JV 063003'!F13+'JV 063004'!F13+'JV 063005'!F13+'JV 063006'!F13+'JV 063007'!F13+'El 064001'!F13+'EH 066011'!F13+MT066013!F13</f>
        <v>4000</v>
      </c>
      <c r="G13" s="4">
        <f>adm066051!G13+'gaas 04320'!G13+'Küte 043601'!G13+'küte 043602'!G13+'HV 052001'!G13+'HV 052003'!G13+'HV 052004'!G13+'JV 063001'!G13+'JV 063003'!G13+'JV 063004'!G13+'JV 063005'!G13+'JV 063006'!G13+'JV 063007'!G13+'El 064001'!G13+'EH 066011'!G13+MT066013!G13</f>
        <v>847.45</v>
      </c>
      <c r="H13" s="7">
        <f t="shared" si="0"/>
        <v>422656.51</v>
      </c>
      <c r="I13" s="40">
        <f>adm066051!I13+'gaas 04320'!I13+'Küte 043601'!I13+'küte 043602'!I13+'HV 052001'!I13+'HV 052003'!I13+'HV 052004'!I13+'JV 063001'!I13+'JV 063003'!I13+'JV 063004'!I13+'JV 063005'!I13+'JV 063006'!I13+'JV 063007'!I13+'El 064001'!I13+'EH 066011'!I13+MT066013!I13</f>
        <v>0</v>
      </c>
      <c r="J13" s="40">
        <f>adm066051!J13+'gaas 04320'!J13+'Küte 043601'!J13+'küte 043602'!J13+'HV 052001'!J13+'HV 052003'!J13+'HV 052004'!J13+'JV 063001'!J13+'JV 063003'!J13+'JV 063004'!J13+'JV 063005'!J13+'JV 063006'!J13+'JV 063007'!J13+'El 064001'!J13+'EH 066011'!J13+MT066013!J13</f>
        <v>0</v>
      </c>
      <c r="K13" s="40">
        <f>adm066051!K13+'gaas 04320'!K13+'Küte 043601'!K13+'küte 043602'!K13+'HV 052001'!K13+'HV 052003'!K13+'HV 052004'!K13+'JV 063001'!K13+'JV 063003'!K13+'JV 063004'!K13+'JV 063005'!K13+'JV 063006'!K13+'JV 063007'!K13+'El 064001'!K13+'EH 066011'!K13+MT066013!K13</f>
        <v>0</v>
      </c>
      <c r="L13" s="40">
        <f>adm066051!L13+'gaas 04320'!L13+'Küte 043601'!L13+'küte 043602'!L13+'HV 052001'!L13+'HV 052003'!L13+'HV 052004'!L13+'JV 063001'!L13+'JV 063003'!L13+'JV 063004'!L13+'JV 063005'!L13+'JV 063006'!L13+'JV 063007'!L13+'El 064001'!L13+'EH 066011'!L13+MT066013!L13</f>
        <v>0</v>
      </c>
      <c r="M13" s="40">
        <f>adm066051!M13+'gaas 04320'!M13+'Küte 043601'!M13+'küte 043602'!M13+'HV 052001'!M13+'HV 052003'!M13+'HV 052004'!M13+'JV 063001'!M13+'JV 063003'!M13+'JV 063004'!M13+'JV 063005'!M13+'JV 063006'!M13+'JV 063007'!M13+'El 064001'!M13+'EH 066011'!M13+MT066013!M13</f>
        <v>267165.48</v>
      </c>
      <c r="N13" s="4">
        <f>adm066051!N13+'gaas 04320'!N13+'Küte 043601'!N13+'küte 043602'!N13+'HV 052001'!N13+'HV 052003'!N13+'HV 052004'!N13+'JV 063001'!N13+'JV 063003'!N13+'JV 063004'!N13+'JV 063005'!N13+'JV 063006'!N13+'JV 063007'!N13+'El 064001'!N13+'EH 066011'!N13+MT066013!N13</f>
        <v>0</v>
      </c>
      <c r="O13" s="4">
        <f>adm066051!O13+'gaas 04320'!O13+'Küte 043601'!O13+'küte 043602'!O13+'HV 052001'!O13+'HV 052003'!O13+'HV 052004'!O13+'JV 063001'!O13+'JV 063003'!O13+'JV 063004'!O13+'JV 063005'!O13+'JV 063006'!O13+'JV 063007'!O13+'El 064001'!O13+'EH 066011'!O13+MT066013!O13</f>
        <v>0</v>
      </c>
      <c r="P13" s="4">
        <f>adm066051!P13+'gaas 04320'!P13+'Küte 043601'!P13+'küte 043602'!P13+'HV 052001'!P13+'HV 052003'!P13+'HV 052004'!P13+'JV 063001'!P13+'JV 063003'!P13+'JV 063004'!P13+'JV 063005'!P13+'JV 063006'!P13+'JV 063007'!P13+'El 064001'!P13+'EH 066011'!P13+MT066013!P13</f>
        <v>0</v>
      </c>
      <c r="Q13" s="4">
        <f>adm066051!Q13+'gaas 04320'!Q13+'Küte 043601'!Q13+'küte 043602'!Q13+'HV 052001'!Q13+'HV 052003'!Q13+'HV 052004'!Q13+'JV 063001'!Q13+'JV 063003'!Q13+'JV 063004'!Q13+'JV 063005'!Q13+'JV 063006'!Q13+'JV 063007'!Q13+'El 064001'!Q13+'EH 066011'!Q13+MT066013!Q13</f>
        <v>155491.03</v>
      </c>
      <c r="R13" s="4">
        <f>adm066051!R13+'gaas 04320'!R13+'Küte 043601'!R13+'küte 043602'!R13+'HV 052001'!R13+'HV 052003'!R13+'HV 052004'!R13+'JV 063001'!R13+'JV 063003'!R13+'JV 063004'!R13+'JV 063005'!R13+'JV 063006'!R13+'JV 063007'!R13+'El 064001'!R13+'EH 066011'!R13+MT066013!R13</f>
        <v>0</v>
      </c>
      <c r="S13" s="4">
        <f>adm066051!S13+'gaas 04320'!S13+'Küte 043601'!S13+'küte 043602'!S13+'HV 052001'!S13+'HV 052003'!S13+'HV 052004'!S13+'JV 063001'!S13+'JV 063003'!S13+'JV 063004'!S13+'JV 063005'!S13+'JV 063006'!S13+'JV 063007'!S13+'El 064001'!S13+'EH 066011'!S13+MT066013!S13</f>
        <v>0</v>
      </c>
      <c r="T13" s="4">
        <f>adm066051!T13+'gaas 04320'!T13+'Küte 043601'!T13+'küte 043602'!T13+'HV 052001'!T13+'HV 052003'!T13+'HV 052004'!T13+'JV 063001'!T13+'JV 063003'!T13+'JV 063004'!T13+'JV 063005'!T13+'JV 063006'!T13+'JV 063007'!T13+'El 064001'!T13+'EH 066011'!T13+MT066013!T13</f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4">
        <f>adm066051!F14+'gaas 04320'!F14+'Küte 043601'!F14+'küte 043602'!F14+'HV 052001'!F14+'HV 052003'!F14+'HV 052004'!F14+'JV 063001'!F14+'JV 063003'!F14+'JV 063004'!F14+'JV 063005'!F14+'JV 063006'!F14+'JV 063007'!F14+'El 064001'!F14+'EH 066011'!F14+MT066013!F14</f>
        <v>4000</v>
      </c>
      <c r="G14" s="4">
        <f>adm066051!G14+'gaas 04320'!G14+'Küte 043601'!G14+'küte 043602'!G14+'HV 052001'!G14+'HV 052003'!G14+'HV 052004'!G14+'JV 063001'!G14+'JV 063003'!G14+'JV 063004'!G14+'JV 063005'!G14+'JV 063006'!G14+'JV 063007'!G14+'El 064001'!G14+'EH 066011'!G14+MT066013!G14</f>
        <v>847.45</v>
      </c>
      <c r="H14" s="10">
        <f t="shared" si="0"/>
        <v>422656.51</v>
      </c>
      <c r="I14" s="38">
        <f>adm066051!I14+'gaas 04320'!I14+'Küte 043601'!I14+'küte 043602'!I14+'HV 052001'!I14+'HV 052003'!I14+'HV 052004'!I14+'JV 063001'!I14+'JV 063003'!I14+'JV 063004'!I14+'JV 063005'!I14+'JV 063006'!I14+'JV 063007'!I14+'El 064001'!I14+'EH 066011'!I14+MT066013!I14</f>
        <v>0</v>
      </c>
      <c r="J14" s="38">
        <f>adm066051!J14+'gaas 04320'!J14+'Küte 043601'!J14+'küte 043602'!J14+'HV 052001'!J14+'HV 052003'!J14+'HV 052004'!J14+'JV 063001'!J14+'JV 063003'!J14+'JV 063004'!J14+'JV 063005'!J14+'JV 063006'!J14+'JV 063007'!J14+'El 064001'!J14+'EH 066011'!J14+MT066013!J14</f>
        <v>0</v>
      </c>
      <c r="K14" s="38">
        <f>adm066051!K14+'gaas 04320'!K14+'Küte 043601'!K14+'küte 043602'!K14+'HV 052001'!K14+'HV 052003'!K14+'HV 052004'!K14+'JV 063001'!K14+'JV 063003'!K14+'JV 063004'!K14+'JV 063005'!K14+'JV 063006'!K14+'JV 063007'!K14+'El 064001'!K14+'EH 066011'!K14+MT066013!K14</f>
        <v>0</v>
      </c>
      <c r="L14" s="38">
        <f>adm066051!L14+'gaas 04320'!L14+'Küte 043601'!L14+'küte 043602'!L14+'HV 052001'!L14+'HV 052003'!L14+'HV 052004'!L14+'JV 063001'!L14+'JV 063003'!L14+'JV 063004'!L14+'JV 063005'!L14+'JV 063006'!L14+'JV 063007'!L14+'El 064001'!L14+'EH 066011'!L14+MT066013!L14</f>
        <v>0</v>
      </c>
      <c r="M14" s="38">
        <f>adm066051!M14+'gaas 04320'!M14+'Küte 043601'!M14+'küte 043602'!M14+'HV 052001'!M14+'HV 052003'!M14+'HV 052004'!M14+'JV 063001'!M14+'JV 063003'!M14+'JV 063004'!M14+'JV 063005'!M14+'JV 063006'!M14+'JV 063007'!M14+'El 064001'!M14+'EH 066011'!M14+MT066013!M14</f>
        <v>267165.48</v>
      </c>
      <c r="N14" s="13">
        <f>adm066051!N14+'gaas 04320'!N14+'Küte 043601'!N14+'küte 043602'!N14+'HV 052001'!N14+'HV 052003'!N14+'HV 052004'!N14+'JV 063001'!N14+'JV 063003'!N14+'JV 063004'!N14+'JV 063005'!N14+'JV 063006'!N14+'JV 063007'!N14+'El 064001'!N14+'EH 066011'!N14+MT066013!N14</f>
        <v>0</v>
      </c>
      <c r="O14" s="13">
        <f>adm066051!O14+'gaas 04320'!O14+'Küte 043601'!O14+'küte 043602'!O14+'HV 052001'!O14+'HV 052003'!O14+'HV 052004'!O14+'JV 063001'!O14+'JV 063003'!O14+'JV 063004'!O14+'JV 063005'!O14+'JV 063006'!O14+'JV 063007'!O14+'El 064001'!O14+'EH 066011'!O14+MT066013!O14</f>
        <v>0</v>
      </c>
      <c r="P14" s="13">
        <f>adm066051!P14+'gaas 04320'!P14+'Küte 043601'!P14+'küte 043602'!P14+'HV 052001'!P14+'HV 052003'!P14+'HV 052004'!P14+'JV 063001'!P14+'JV 063003'!P14+'JV 063004'!P14+'JV 063005'!P14+'JV 063006'!P14+'JV 063007'!P14+'El 064001'!P14+'EH 066011'!P14+MT066013!P14</f>
        <v>0</v>
      </c>
      <c r="Q14" s="13">
        <f>adm066051!Q14+'gaas 04320'!Q14+'Küte 043601'!Q14+'küte 043602'!Q14+'HV 052001'!Q14+'HV 052003'!Q14+'HV 052004'!Q14+'JV 063001'!Q14+'JV 063003'!Q14+'JV 063004'!Q14+'JV 063005'!Q14+'JV 063006'!Q14+'JV 063007'!Q14+'El 064001'!Q14+'EH 066011'!Q14+MT066013!Q14</f>
        <v>155491.03</v>
      </c>
      <c r="R14" s="13">
        <f>adm066051!R14+'gaas 04320'!R14+'Küte 043601'!R14+'küte 043602'!R14+'HV 052001'!R14+'HV 052003'!R14+'HV 052004'!R14+'JV 063001'!R14+'JV 063003'!R14+'JV 063004'!R14+'JV 063005'!R14+'JV 063006'!R14+'JV 063007'!R14+'El 064001'!R14+'EH 066011'!R14+MT066013!R14</f>
        <v>0</v>
      </c>
      <c r="S14" s="13">
        <f>adm066051!S14+'gaas 04320'!S14+'Küte 043601'!S14+'küte 043602'!S14+'HV 052001'!S14+'HV 052003'!S14+'HV 052004'!S14+'JV 063001'!S14+'JV 063003'!S14+'JV 063004'!S14+'JV 063005'!S14+'JV 063006'!S14+'JV 063007'!S14+'El 064001'!S14+'EH 066011'!S14+MT066013!S14</f>
        <v>0</v>
      </c>
      <c r="T14" s="13">
        <f>adm066051!T14+'gaas 04320'!T14+'Küte 043601'!T14+'küte 043602'!T14+'HV 052001'!T14+'HV 052003'!T14+'HV 052004'!T14+'JV 063001'!T14+'JV 063003'!T14+'JV 063004'!T14+'JV 063005'!T14+'JV 063006'!T14+'JV 063007'!T14+'El 064001'!T14+'EH 066011'!T14+MT066013!T14</f>
        <v>0</v>
      </c>
    </row>
    <row r="15" spans="1:20" ht="12.75">
      <c r="A15" s="12">
        <v>3</v>
      </c>
      <c r="B15" s="12">
        <v>8</v>
      </c>
      <c r="C15" s="12">
        <v>2</v>
      </c>
      <c r="D15" s="12"/>
      <c r="E15" s="12" t="s">
        <v>253</v>
      </c>
      <c r="F15" s="4">
        <v>0</v>
      </c>
      <c r="G15" s="4">
        <v>0</v>
      </c>
      <c r="H15" s="10">
        <f t="shared" si="0"/>
        <v>90316.41</v>
      </c>
      <c r="I15" s="38">
        <f>'Küte 043601'!I15</f>
        <v>0</v>
      </c>
      <c r="J15" s="38">
        <f>'Küte 043601'!J15</f>
        <v>0</v>
      </c>
      <c r="K15" s="38">
        <f>'Küte 043601'!K15</f>
        <v>0</v>
      </c>
      <c r="L15" s="38">
        <f>'Küte 043601'!L15</f>
        <v>90316.41</v>
      </c>
      <c r="M15" s="38">
        <f>'Küte 043601'!M15</f>
        <v>0</v>
      </c>
      <c r="N15" s="38">
        <f>'Küte 043601'!N15</f>
        <v>0</v>
      </c>
      <c r="O15" s="38">
        <f>'Küte 043601'!O15</f>
        <v>0</v>
      </c>
      <c r="P15" s="38">
        <f>'Küte 043601'!P15</f>
        <v>0</v>
      </c>
      <c r="Q15" s="38">
        <f>'Küte 043601'!Q15</f>
        <v>0</v>
      </c>
      <c r="R15" s="38">
        <f>'Küte 043601'!R15</f>
        <v>0</v>
      </c>
      <c r="S15" s="38">
        <f>'Küte 043601'!S15</f>
        <v>0</v>
      </c>
      <c r="T15" s="38">
        <f>'Küte 043601'!T15</f>
        <v>0</v>
      </c>
    </row>
    <row r="16" spans="1:20" ht="12.75">
      <c r="A16" s="6" t="s">
        <v>22</v>
      </c>
      <c r="B16" s="6" t="s">
        <v>4</v>
      </c>
      <c r="C16" s="6" t="s">
        <v>4</v>
      </c>
      <c r="D16" s="6" t="s">
        <v>4</v>
      </c>
      <c r="E16" s="6" t="s">
        <v>23</v>
      </c>
      <c r="F16" s="4">
        <f>adm066051!F15+'gaas 04320'!F15+'Küte 043601'!F17+'küte 043602'!F15+'HV 052001'!F15+'HV 052003'!F15+'HV 052004'!F15+'JV 063001'!F15+'JV 063003'!F15+'JV 063004'!F15+'JV 063005'!F15+'JV 063006'!F15+'JV 063007'!F15+'El 064001'!F15+'EH 066011'!F15+MT066013!F15</f>
        <v>-2500</v>
      </c>
      <c r="G16" s="4">
        <f>adm066051!G15+'gaas 04320'!G15+'Küte 043601'!G17+'küte 043602'!G15+'HV 052001'!G15+'HV 052003'!G15+'HV 052004'!G15+'JV 063001'!G15+'JV 063003'!G15+'JV 063004'!G15+'JV 063005'!G15+'JV 063006'!G15+'JV 063007'!G15+'El 064001'!G15+'EH 066011'!G15+MT066013!G15</f>
        <v>-2000</v>
      </c>
      <c r="H16" s="7">
        <f t="shared" si="0"/>
        <v>-500</v>
      </c>
      <c r="I16" s="40">
        <f>adm066051!I15+'gaas 04320'!I15+'Küte 043601'!I17+'küte 043602'!I15+'HV 052001'!I15+'HV 052003'!I15+'HV 052004'!I15+'JV 063001'!I15+'JV 063003'!I15+'JV 063004'!I15+'JV 063005'!I15+'JV 063006'!I15+'JV 063007'!I15+'El 064001'!I15+'EH 066011'!I15+MT066013!I15</f>
        <v>-500</v>
      </c>
      <c r="J16" s="40">
        <f>adm066051!J15+'gaas 04320'!J15+'Küte 043601'!J17+'küte 043602'!J15+'HV 052001'!J15+'HV 052003'!J15+'HV 052004'!J15+'JV 063001'!J15+'JV 063003'!J15+'JV 063004'!J15+'JV 063005'!J15+'JV 063006'!J15+'JV 063007'!J15+'El 064001'!J15+'EH 066011'!J15+MT066013!J15</f>
        <v>0</v>
      </c>
      <c r="K16" s="40">
        <f>adm066051!K15+'gaas 04320'!K15+'Küte 043601'!K17+'küte 043602'!K15+'HV 052001'!K15+'HV 052003'!K15+'HV 052004'!K15+'JV 063001'!K15+'JV 063003'!K15+'JV 063004'!K15+'JV 063005'!K15+'JV 063006'!K15+'JV 063007'!K15+'El 064001'!K15+'EH 066011'!K15+MT066013!K15</f>
        <v>0</v>
      </c>
      <c r="L16" s="40">
        <f>adm066051!L15+'gaas 04320'!L15+'Küte 043601'!L17+'küte 043602'!L15+'HV 052001'!L15+'HV 052003'!L15+'HV 052004'!L15+'JV 063001'!L15+'JV 063003'!L15+'JV 063004'!L15+'JV 063005'!L15+'JV 063006'!L15+'JV 063007'!L15+'El 064001'!L15+'EH 066011'!L15+MT066013!L15</f>
        <v>0</v>
      </c>
      <c r="M16" s="40">
        <f>adm066051!M15+'gaas 04320'!M15+'Küte 043601'!M17+'küte 043602'!M15+'HV 052001'!M15+'HV 052003'!M15+'HV 052004'!M15+'JV 063001'!M15+'JV 063003'!M15+'JV 063004'!M15+'JV 063005'!M15+'JV 063006'!M15+'JV 063007'!M15+'El 064001'!M15+'EH 066011'!M15+MT066013!M15</f>
        <v>0</v>
      </c>
      <c r="N16" s="4">
        <f>adm066051!N15+'gaas 04320'!N15+'Küte 043601'!N17+'küte 043602'!N15+'HV 052001'!N15+'HV 052003'!N15+'HV 052004'!N15+'JV 063001'!N15+'JV 063003'!N15+'JV 063004'!N15+'JV 063005'!N15+'JV 063006'!N15+'JV 063007'!N15+'El 064001'!N15+'EH 066011'!N15+MT066013!N15</f>
        <v>0</v>
      </c>
      <c r="O16" s="4">
        <f>adm066051!O15+'gaas 04320'!O15+'Küte 043601'!O17+'küte 043602'!O15+'HV 052001'!O15+'HV 052003'!O15+'HV 052004'!O15+'JV 063001'!O15+'JV 063003'!O15+'JV 063004'!O15+'JV 063005'!O15+'JV 063006'!O15+'JV 063007'!O15+'El 064001'!O15+'EH 066011'!O15+MT066013!O15</f>
        <v>0</v>
      </c>
      <c r="P16" s="4">
        <f>adm066051!P15+'gaas 04320'!P15+'Küte 043601'!P17+'küte 043602'!P15+'HV 052001'!P15+'HV 052003'!P15+'HV 052004'!P15+'JV 063001'!P15+'JV 063003'!P15+'JV 063004'!P15+'JV 063005'!P15+'JV 063006'!P15+'JV 063007'!P15+'El 064001'!P15+'EH 066011'!P15+MT066013!P15</f>
        <v>0</v>
      </c>
      <c r="Q16" s="4">
        <f>adm066051!Q15+'gaas 04320'!Q15+'Küte 043601'!Q17+'küte 043602'!Q15+'HV 052001'!Q15+'HV 052003'!Q15+'HV 052004'!Q15+'JV 063001'!Q15+'JV 063003'!Q15+'JV 063004'!Q15+'JV 063005'!Q15+'JV 063006'!Q15+'JV 063007'!Q15+'El 064001'!Q15+'EH 066011'!Q15+MT066013!Q15</f>
        <v>0</v>
      </c>
      <c r="R16" s="4">
        <f>adm066051!R15+'gaas 04320'!R15+'Küte 043601'!R17+'küte 043602'!R15+'HV 052001'!R15+'HV 052003'!R15+'HV 052004'!R15+'JV 063001'!R15+'JV 063003'!R15+'JV 063004'!R15+'JV 063005'!R15+'JV 063006'!R15+'JV 063007'!R15+'El 064001'!R15+'EH 066011'!R15+MT066013!R15</f>
        <v>0</v>
      </c>
      <c r="S16" s="4">
        <f>adm066051!S15+'gaas 04320'!S15+'Küte 043601'!S17+'küte 043602'!S15+'HV 052001'!S15+'HV 052003'!S15+'HV 052004'!S15+'JV 063001'!S15+'JV 063003'!S15+'JV 063004'!S15+'JV 063005'!S15+'JV 063006'!S15+'JV 063007'!S15+'El 064001'!S15+'EH 066011'!S15+MT066013!S15</f>
        <v>0</v>
      </c>
      <c r="T16" s="4">
        <f>adm066051!T15+'gaas 04320'!T15+'Küte 043601'!T17+'küte 043602'!T15+'HV 052001'!T15+'HV 052003'!T15+'HV 052004'!T15+'JV 063001'!T15+'JV 063003'!T15+'JV 063004'!T15+'JV 063005'!T15+'JV 063006'!T15+'JV 063007'!T15+'El 064001'!T15+'EH 066011'!T15+MT066013!T15</f>
        <v>0</v>
      </c>
    </row>
    <row r="17" spans="1:20" ht="12.75">
      <c r="A17" s="6" t="s">
        <v>22</v>
      </c>
      <c r="B17" s="6" t="s">
        <v>10</v>
      </c>
      <c r="C17" s="6" t="s">
        <v>4</v>
      </c>
      <c r="D17" s="6" t="s">
        <v>4</v>
      </c>
      <c r="E17" s="6" t="s">
        <v>24</v>
      </c>
      <c r="F17" s="4">
        <f>adm066051!F16+'gaas 04320'!F16+'Küte 043601'!F18+'küte 043602'!F16+'HV 052001'!F16+'HV 052003'!F16+'HV 052004'!F16+'JV 063001'!F16+'JV 063003'!F16+'JV 063004'!F16+'JV 063005'!F16+'JV 063006'!F16+'JV 063007'!F16+'El 064001'!F16+'EH 066011'!F16+MT066013!F16</f>
        <v>-2500</v>
      </c>
      <c r="G17" s="4">
        <f>adm066051!G16+'gaas 04320'!G16+'Küte 043601'!G18+'küte 043602'!G16+'HV 052001'!G16+'HV 052003'!G16+'HV 052004'!G16+'JV 063001'!G16+'JV 063003'!G16+'JV 063004'!G16+'JV 063005'!G16+'JV 063006'!G16+'JV 063007'!G16+'El 064001'!G16+'EH 066011'!G16+MT066013!G16</f>
        <v>-2000</v>
      </c>
      <c r="H17" s="7">
        <f t="shared" si="0"/>
        <v>-500</v>
      </c>
      <c r="I17" s="40">
        <f>adm066051!I16+'gaas 04320'!I16+'Küte 043601'!I18+'küte 043602'!I16+'HV 052001'!I16+'HV 052003'!I16+'HV 052004'!I16+'JV 063001'!I16+'JV 063003'!I16+'JV 063004'!I16+'JV 063005'!I16+'JV 063006'!I16+'JV 063007'!I16+'El 064001'!I16+'EH 066011'!I16+MT066013!I16</f>
        <v>-500</v>
      </c>
      <c r="J17" s="40">
        <f>adm066051!J16+'gaas 04320'!J16+'Küte 043601'!J18+'küte 043602'!J16+'HV 052001'!J16+'HV 052003'!J16+'HV 052004'!J16+'JV 063001'!J16+'JV 063003'!J16+'JV 063004'!J16+'JV 063005'!J16+'JV 063006'!J16+'JV 063007'!J16+'El 064001'!J16+'EH 066011'!J16+MT066013!J16</f>
        <v>0</v>
      </c>
      <c r="K17" s="40">
        <f>adm066051!K16+'gaas 04320'!K16+'Küte 043601'!K18+'küte 043602'!K16+'HV 052001'!K16+'HV 052003'!K16+'HV 052004'!K16+'JV 063001'!K16+'JV 063003'!K16+'JV 063004'!K16+'JV 063005'!K16+'JV 063006'!K16+'JV 063007'!K16+'El 064001'!K16+'EH 066011'!K16+MT066013!K16</f>
        <v>0</v>
      </c>
      <c r="L17" s="40">
        <f>adm066051!L16+'gaas 04320'!L16+'Küte 043601'!L18+'küte 043602'!L16+'HV 052001'!L16+'HV 052003'!L16+'HV 052004'!L16+'JV 063001'!L16+'JV 063003'!L16+'JV 063004'!L16+'JV 063005'!L16+'JV 063006'!L16+'JV 063007'!L16+'El 064001'!L16+'EH 066011'!L16+MT066013!L16</f>
        <v>0</v>
      </c>
      <c r="M17" s="40">
        <f>adm066051!M16+'gaas 04320'!M16+'Küte 043601'!M18+'küte 043602'!M16+'HV 052001'!M16+'HV 052003'!M16+'HV 052004'!M16+'JV 063001'!M16+'JV 063003'!M16+'JV 063004'!M16+'JV 063005'!M16+'JV 063006'!M16+'JV 063007'!M16+'El 064001'!M16+'EH 066011'!M16+MT066013!M16</f>
        <v>0</v>
      </c>
      <c r="N17" s="4">
        <f>adm066051!N16+'gaas 04320'!N16+'Küte 043601'!N18+'küte 043602'!N16+'HV 052001'!N16+'HV 052003'!N16+'HV 052004'!N16+'JV 063001'!N16+'JV 063003'!N16+'JV 063004'!N16+'JV 063005'!N16+'JV 063006'!N16+'JV 063007'!N16+'El 064001'!N16+'EH 066011'!N16+MT066013!N16</f>
        <v>0</v>
      </c>
      <c r="O17" s="4">
        <f>adm066051!O16+'gaas 04320'!O16+'Küte 043601'!O18+'küte 043602'!O16+'HV 052001'!O16+'HV 052003'!O16+'HV 052004'!O16+'JV 063001'!O16+'JV 063003'!O16+'JV 063004'!O16+'JV 063005'!O16+'JV 063006'!O16+'JV 063007'!O16+'El 064001'!O16+'EH 066011'!O16+MT066013!O16</f>
        <v>0</v>
      </c>
      <c r="P17" s="4">
        <f>adm066051!P16+'gaas 04320'!P16+'Küte 043601'!P18+'küte 043602'!P16+'HV 052001'!P16+'HV 052003'!P16+'HV 052004'!P16+'JV 063001'!P16+'JV 063003'!P16+'JV 063004'!P16+'JV 063005'!P16+'JV 063006'!P16+'JV 063007'!P16+'El 064001'!P16+'EH 066011'!P16+MT066013!P16</f>
        <v>0</v>
      </c>
      <c r="Q17" s="4">
        <f>adm066051!Q16+'gaas 04320'!Q16+'Küte 043601'!Q18+'küte 043602'!Q16+'HV 052001'!Q16+'HV 052003'!Q16+'HV 052004'!Q16+'JV 063001'!Q16+'JV 063003'!Q16+'JV 063004'!Q16+'JV 063005'!Q16+'JV 063006'!Q16+'JV 063007'!Q16+'El 064001'!Q16+'EH 066011'!Q16+MT066013!Q16</f>
        <v>0</v>
      </c>
      <c r="R17" s="4">
        <f>adm066051!R16+'gaas 04320'!R16+'Küte 043601'!R18+'küte 043602'!R16+'HV 052001'!R16+'HV 052003'!R16+'HV 052004'!R16+'JV 063001'!R16+'JV 063003'!R16+'JV 063004'!R16+'JV 063005'!R16+'JV 063006'!R16+'JV 063007'!R16+'El 064001'!R16+'EH 066011'!R16+MT066013!R16</f>
        <v>0</v>
      </c>
      <c r="S17" s="4">
        <f>adm066051!S16+'gaas 04320'!S16+'Küte 043601'!S18+'küte 043602'!S16+'HV 052001'!S16+'HV 052003'!S16+'HV 052004'!S16+'JV 063001'!S16+'JV 063003'!S16+'JV 063004'!S16+'JV 063005'!S16+'JV 063006'!S16+'JV 063007'!S16+'El 064001'!S16+'EH 066011'!S16+MT066013!S16</f>
        <v>0</v>
      </c>
      <c r="T17" s="4">
        <f>adm066051!T16+'gaas 04320'!T16+'Küte 043601'!T18+'küte 043602'!T16+'HV 052001'!T16+'HV 052003'!T16+'HV 052004'!T16+'JV 063001'!T16+'JV 063003'!T16+'JV 063004'!T16+'JV 063005'!T16+'JV 063006'!T16+'JV 063007'!T16+'El 064001'!T16+'EH 066011'!T16+MT066013!T16</f>
        <v>0</v>
      </c>
    </row>
    <row r="18" spans="1:20" ht="12.75">
      <c r="A18" s="6" t="s">
        <v>22</v>
      </c>
      <c r="B18" s="6" t="s">
        <v>10</v>
      </c>
      <c r="C18" s="6" t="s">
        <v>6</v>
      </c>
      <c r="D18" s="6" t="s">
        <v>4</v>
      </c>
      <c r="E18" s="6" t="s">
        <v>25</v>
      </c>
      <c r="F18" s="4">
        <f>adm066051!F17+'gaas 04320'!F17+'Küte 043601'!F19+'küte 043602'!F17+'HV 052001'!F17+'HV 052003'!F17+'HV 052004'!F17+'JV 063001'!F17+'JV 063003'!F17+'JV 063004'!F17+'JV 063005'!F17+'JV 063006'!F17+'JV 063007'!F17+'El 064001'!F17+'EH 066011'!F17+MT066013!F17</f>
        <v>-2500</v>
      </c>
      <c r="G18" s="4">
        <f>adm066051!G17+'gaas 04320'!G17+'Küte 043601'!G19+'küte 043602'!G17+'HV 052001'!G17+'HV 052003'!G17+'HV 052004'!G17+'JV 063001'!G17+'JV 063003'!G17+'JV 063004'!G17+'JV 063005'!G17+'JV 063006'!G17+'JV 063007'!G17+'El 064001'!G17+'EH 066011'!G17+MT066013!G17</f>
        <v>-2000</v>
      </c>
      <c r="H18" s="7">
        <f t="shared" si="0"/>
        <v>-500</v>
      </c>
      <c r="I18" s="40">
        <f>adm066051!I17+'gaas 04320'!I17+'Küte 043601'!I19+'küte 043602'!I17+'HV 052001'!I17+'HV 052003'!I17+'HV 052004'!I17+'JV 063001'!I17+'JV 063003'!I17+'JV 063004'!I17+'JV 063005'!I17+'JV 063006'!I17+'JV 063007'!I17+'El 064001'!I17+'EH 066011'!I17+MT066013!I17</f>
        <v>-500</v>
      </c>
      <c r="J18" s="40">
        <f>adm066051!J17+'gaas 04320'!J17+'Küte 043601'!J19+'küte 043602'!J17+'HV 052001'!J17+'HV 052003'!J17+'HV 052004'!J17+'JV 063001'!J17+'JV 063003'!J17+'JV 063004'!J17+'JV 063005'!J17+'JV 063006'!J17+'JV 063007'!J17+'El 064001'!J17+'EH 066011'!J17+MT066013!J17</f>
        <v>0</v>
      </c>
      <c r="K18" s="40">
        <f>adm066051!K17+'gaas 04320'!K17+'Küte 043601'!K19+'küte 043602'!K17+'HV 052001'!K17+'HV 052003'!K17+'HV 052004'!K17+'JV 063001'!K17+'JV 063003'!K17+'JV 063004'!K17+'JV 063005'!K17+'JV 063006'!K17+'JV 063007'!K17+'El 064001'!K17+'EH 066011'!K17+MT066013!K17</f>
        <v>0</v>
      </c>
      <c r="L18" s="40">
        <f>adm066051!L17+'gaas 04320'!L17+'Küte 043601'!L19+'küte 043602'!L17+'HV 052001'!L17+'HV 052003'!L17+'HV 052004'!L17+'JV 063001'!L17+'JV 063003'!L17+'JV 063004'!L17+'JV 063005'!L17+'JV 063006'!L17+'JV 063007'!L17+'El 064001'!L17+'EH 066011'!L17+MT066013!L17</f>
        <v>0</v>
      </c>
      <c r="M18" s="40">
        <f>adm066051!M17+'gaas 04320'!M17+'Küte 043601'!M19+'küte 043602'!M17+'HV 052001'!M17+'HV 052003'!M17+'HV 052004'!M17+'JV 063001'!M17+'JV 063003'!M17+'JV 063004'!M17+'JV 063005'!M17+'JV 063006'!M17+'JV 063007'!M17+'El 064001'!M17+'EH 066011'!M17+MT066013!M17</f>
        <v>0</v>
      </c>
      <c r="N18" s="4">
        <f>adm066051!N17+'gaas 04320'!N17+'Küte 043601'!N19+'küte 043602'!N17+'HV 052001'!N17+'HV 052003'!N17+'HV 052004'!N17+'JV 063001'!N17+'JV 063003'!N17+'JV 063004'!N17+'JV 063005'!N17+'JV 063006'!N17+'JV 063007'!N17+'El 064001'!N17+'EH 066011'!N17+MT066013!N17</f>
        <v>0</v>
      </c>
      <c r="O18" s="4">
        <f>adm066051!O17+'gaas 04320'!O17+'Küte 043601'!O19+'küte 043602'!O17+'HV 052001'!O17+'HV 052003'!O17+'HV 052004'!O17+'JV 063001'!O17+'JV 063003'!O17+'JV 063004'!O17+'JV 063005'!O17+'JV 063006'!O17+'JV 063007'!O17+'El 064001'!O17+'EH 066011'!O17+MT066013!O17</f>
        <v>0</v>
      </c>
      <c r="P18" s="4">
        <f>adm066051!P17+'gaas 04320'!P17+'Küte 043601'!P19+'küte 043602'!P17+'HV 052001'!P17+'HV 052003'!P17+'HV 052004'!P17+'JV 063001'!P17+'JV 063003'!P17+'JV 063004'!P17+'JV 063005'!P17+'JV 063006'!P17+'JV 063007'!P17+'El 064001'!P17+'EH 066011'!P17+MT066013!P17</f>
        <v>0</v>
      </c>
      <c r="Q18" s="4">
        <f>adm066051!Q17+'gaas 04320'!Q17+'Küte 043601'!Q19+'küte 043602'!Q17+'HV 052001'!Q17+'HV 052003'!Q17+'HV 052004'!Q17+'JV 063001'!Q17+'JV 063003'!Q17+'JV 063004'!Q17+'JV 063005'!Q17+'JV 063006'!Q17+'JV 063007'!Q17+'El 064001'!Q17+'EH 066011'!Q17+MT066013!Q17</f>
        <v>0</v>
      </c>
      <c r="R18" s="4">
        <f>adm066051!R17+'gaas 04320'!R17+'Küte 043601'!R19+'küte 043602'!R17+'HV 052001'!R17+'HV 052003'!R17+'HV 052004'!R17+'JV 063001'!R17+'JV 063003'!R17+'JV 063004'!R17+'JV 063005'!R17+'JV 063006'!R17+'JV 063007'!R17+'El 064001'!R17+'EH 066011'!R17+MT066013!R17</f>
        <v>0</v>
      </c>
      <c r="S18" s="4">
        <f>adm066051!S17+'gaas 04320'!S17+'Küte 043601'!S19+'küte 043602'!S17+'HV 052001'!S17+'HV 052003'!S17+'HV 052004'!S17+'JV 063001'!S17+'JV 063003'!S17+'JV 063004'!S17+'JV 063005'!S17+'JV 063006'!S17+'JV 063007'!S17+'El 064001'!S17+'EH 066011'!S17+MT066013!S17</f>
        <v>0</v>
      </c>
      <c r="T18" s="4">
        <f>adm066051!T17+'gaas 04320'!T17+'Küte 043601'!T19+'küte 043602'!T17+'HV 052001'!T17+'HV 052003'!T17+'HV 052004'!T17+'JV 063001'!T17+'JV 063003'!T17+'JV 063004'!T17+'JV 063005'!T17+'JV 063006'!T17+'JV 063007'!T17+'El 064001'!T17+'EH 066011'!T17+MT066013!T17</f>
        <v>0</v>
      </c>
    </row>
    <row r="19" spans="1:20" ht="12.75">
      <c r="A19" s="6" t="s">
        <v>10</v>
      </c>
      <c r="B19" s="6" t="s">
        <v>4</v>
      </c>
      <c r="C19" s="6" t="s">
        <v>4</v>
      </c>
      <c r="D19" s="6" t="s">
        <v>4</v>
      </c>
      <c r="E19" s="6" t="s">
        <v>26</v>
      </c>
      <c r="F19" s="4">
        <f>adm066051!F18+'gaas 04320'!F18+'Küte 043601'!F20+'küte 043602'!F18+'HV 052001'!F18+'HV 052003'!F18+'HV 052004'!F18+'JV 063001'!F18+'JV 063003'!F18+'JV 063004'!F18+'JV 063005'!F18+'JV 063006'!F18+'JV 063007'!F18+'El 064001'!F18+'EH 066011'!F18+MT066013!F18</f>
        <v>-7559718.26</v>
      </c>
      <c r="G19" s="4">
        <f>adm066051!G18+'gaas 04320'!G18+'Küte 043601'!G20+'küte 043602'!G18+'HV 052001'!G18+'HV 052003'!G18+'HV 052004'!G18+'JV 063001'!G18+'JV 063003'!G18+'JV 063004'!G18+'JV 063005'!G18+'JV 063006'!G18+'JV 063007'!G18+'El 064001'!G18+'EH 066011'!G18+MT066013!G18</f>
        <v>-7248901.200000001</v>
      </c>
      <c r="H19" s="7">
        <f t="shared" si="0"/>
        <v>-7486536.7064</v>
      </c>
      <c r="I19" s="40">
        <f>adm066051!I18+'gaas 04320'!I18+'Küte 043601'!I20+'küte 043602'!I18+'HV 052001'!I18+'HV 052003'!I18+'HV 052004'!I18+'JV 063001'!I18+'JV 063003'!I18+'JV 063004'!I18+'JV 063005'!I18+'JV 063006'!I18+'JV 063007'!I18+'El 064001'!I18+'EH 066011'!I18+MT066013!I18</f>
        <v>-830557.0199999998</v>
      </c>
      <c r="J19" s="40">
        <f>adm066051!J18+'gaas 04320'!J18+'Küte 043601'!J20+'küte 043602'!J18+'HV 052001'!J18+'HV 052003'!J18+'HV 052004'!J18+'JV 063001'!J18+'JV 063003'!J18+'JV 063004'!J18+'JV 063005'!J18+'JV 063006'!J18+'JV 063007'!J18+'El 064001'!J18+'EH 066011'!J18+MT066013!J18</f>
        <v>-755724.32</v>
      </c>
      <c r="K19" s="40">
        <f>adm066051!K18+'gaas 04320'!K18+'Küte 043601'!K20+'küte 043602'!K18+'HV 052001'!K18+'HV 052003'!K18+'HV 052004'!K18+'JV 063001'!K18+'JV 063003'!K18+'JV 063004'!K18+'JV 063005'!K18+'JV 063006'!K18+'JV 063007'!K18+'El 064001'!K18+'EH 066011'!K18+MT066013!K18</f>
        <v>-757458.91</v>
      </c>
      <c r="L19" s="40">
        <f>adm066051!L18+'gaas 04320'!L18+'Küte 043601'!L20+'küte 043602'!L18+'HV 052001'!L18+'HV 052003'!L18+'HV 052004'!L18+'JV 063001'!L18+'JV 063003'!L18+'JV 063004'!L18+'JV 063005'!L18+'JV 063006'!L18+'JV 063007'!L18+'El 064001'!L18+'EH 066011'!L18+MT066013!L18</f>
        <v>-603327.5300000001</v>
      </c>
      <c r="M19" s="40">
        <f>adm066051!M18+'gaas 04320'!M18+'Küte 043601'!M20+'küte 043602'!M18+'HV 052001'!M18+'HV 052003'!M18+'HV 052004'!M18+'JV 063001'!M18+'JV 063003'!M18+'JV 063004'!M18+'JV 063005'!M18+'JV 063006'!M18+'JV 063007'!M18+'El 064001'!M18+'EH 066011'!M18+MT066013!M18</f>
        <v>-540674.8799999999</v>
      </c>
      <c r="N19" s="4">
        <f>adm066051!N18+'gaas 04320'!N18+'Küte 043601'!N20+'küte 043602'!N18+'HV 052001'!N18+'HV 052003'!N18+'HV 052004'!N18+'JV 063001'!N18+'JV 063003'!N18+'JV 063004'!N18+'JV 063005'!N18+'JV 063006'!N18+'JV 063007'!N18+'El 064001'!N18+'EH 066011'!N18+MT066013!N18</f>
        <v>-396260.61640000006</v>
      </c>
      <c r="O19" s="4">
        <f>adm066051!O18+'gaas 04320'!O18+'Küte 043601'!O20+'küte 043602'!O18+'HV 052001'!O18+'HV 052003'!O18+'HV 052004'!O18+'JV 063001'!O18+'JV 063003'!O18+'JV 063004'!O18+'JV 063005'!O18+'JV 063006'!O18+'JV 063007'!O18+'El 064001'!O18+'EH 066011'!O18+MT066013!O18</f>
        <v>-444174.87999999995</v>
      </c>
      <c r="P19" s="4">
        <f>adm066051!P18+'gaas 04320'!P18+'Küte 043601'!P20+'küte 043602'!P18+'HV 052001'!P18+'HV 052003'!P18+'HV 052004'!P18+'JV 063001'!P18+'JV 063003'!P18+'JV 063004'!P18+'JV 063005'!P18+'JV 063006'!P18+'JV 063007'!P18+'El 064001'!P18+'EH 066011'!P18+MT066013!P18</f>
        <v>-482460.89</v>
      </c>
      <c r="Q19" s="4">
        <f>adm066051!Q18+'gaas 04320'!Q18+'Küte 043601'!Q20+'küte 043602'!Q18+'HV 052001'!Q18+'HV 052003'!Q18+'HV 052004'!Q18+'JV 063001'!Q18+'JV 063003'!Q18+'JV 063004'!Q18+'JV 063005'!Q18+'JV 063006'!Q18+'JV 063007'!Q18+'El 064001'!Q18+'EH 066011'!Q18+MT066013!Q18</f>
        <v>-452751.85</v>
      </c>
      <c r="R19" s="4">
        <f>adm066051!R18+'gaas 04320'!R18+'Küte 043601'!R20+'küte 043602'!R18+'HV 052001'!R18+'HV 052003'!R18+'HV 052004'!R18+'JV 063001'!R18+'JV 063003'!R18+'JV 063004'!R18+'JV 063005'!R18+'JV 063006'!R18+'JV 063007'!R18+'El 064001'!R18+'EH 066011'!R18+MT066013!R18</f>
        <v>-709217.19</v>
      </c>
      <c r="S19" s="4">
        <f>adm066051!S18+'gaas 04320'!S18+'Küte 043601'!S20+'küte 043602'!S18+'HV 052001'!S18+'HV 052003'!S18+'HV 052004'!S18+'JV 063001'!S18+'JV 063003'!S18+'JV 063004'!S18+'JV 063005'!S18+'JV 063006'!S18+'JV 063007'!S18+'El 064001'!S18+'EH 066011'!S18+MT066013!S18</f>
        <v>-690683.6800000002</v>
      </c>
      <c r="T19" s="4">
        <f>adm066051!T18+'gaas 04320'!T18+'Küte 043601'!T20+'küte 043602'!T18+'HV 052001'!T18+'HV 052003'!T18+'HV 052004'!T18+'JV 063001'!T18+'JV 063003'!T18+'JV 063004'!T18+'JV 063005'!T18+'JV 063006'!T18+'JV 063007'!T18+'El 064001'!T18+'EH 066011'!T18+MT066013!T18</f>
        <v>-823244.9399999998</v>
      </c>
    </row>
    <row r="20" spans="1:20" ht="12.75">
      <c r="A20" s="6" t="s">
        <v>10</v>
      </c>
      <c r="B20" s="6" t="s">
        <v>13</v>
      </c>
      <c r="C20" s="6" t="s">
        <v>4</v>
      </c>
      <c r="D20" s="6" t="s">
        <v>4</v>
      </c>
      <c r="E20" s="6" t="s">
        <v>27</v>
      </c>
      <c r="F20" s="4">
        <f>adm066051!F19+'gaas 04320'!F19+'Küte 043601'!F21+'küte 043602'!F19+'HV 052001'!F19+'HV 052003'!F19+'HV 052004'!F19+'JV 063001'!F19+'JV 063003'!F19+'JV 063004'!F19+'JV 063005'!F19+'JV 063006'!F19+'JV 063007'!F19+'El 064001'!F19+'EH 066011'!F19+MT066013!F19</f>
        <v>-2146164.1699999995</v>
      </c>
      <c r="G20" s="4">
        <f>adm066051!G19+'gaas 04320'!G19+'Küte 043601'!G21+'küte 043602'!G19+'HV 052001'!G19+'HV 052003'!G19+'HV 052004'!G19+'JV 063001'!G19+'JV 063003'!G19+'JV 063004'!G19+'JV 063005'!G19+'JV 063006'!G19+'JV 063007'!G19+'El 064001'!G19+'EH 066011'!G19+MT066013!G19</f>
        <v>-2156716.84</v>
      </c>
      <c r="H20" s="7">
        <f t="shared" si="0"/>
        <v>-2257624.7963999994</v>
      </c>
      <c r="I20" s="40">
        <f>adm066051!I19+'gaas 04320'!I19+'Küte 043601'!I21+'küte 043602'!I19+'HV 052001'!I19+'HV 052003'!I19+'HV 052004'!I19+'JV 063001'!I19+'JV 063003'!I19+'JV 063004'!I19+'JV 063005'!I19+'JV 063006'!I19+'JV 063007'!I19+'El 064001'!I19+'EH 066011'!I19+MT066013!I19</f>
        <v>-186628.64999999997</v>
      </c>
      <c r="J20" s="40">
        <f>adm066051!J19+'gaas 04320'!J19+'Küte 043601'!J21+'küte 043602'!J19+'HV 052001'!J19+'HV 052003'!J19+'HV 052004'!J19+'JV 063001'!J19+'JV 063003'!J19+'JV 063004'!J19+'JV 063005'!J19+'JV 063006'!J19+'JV 063007'!J19+'El 064001'!J19+'EH 066011'!J19+MT066013!J19</f>
        <v>-183028.04999999996</v>
      </c>
      <c r="K20" s="40">
        <f>adm066051!K19+'gaas 04320'!K19+'Küte 043601'!K21+'küte 043602'!K19+'HV 052001'!K19+'HV 052003'!K19+'HV 052004'!K19+'JV 063001'!K19+'JV 063003'!K19+'JV 063004'!K19+'JV 063005'!K19+'JV 063006'!K19+'JV 063007'!K19+'El 064001'!K19+'EH 066011'!K19+MT066013!K19</f>
        <v>-192852.15</v>
      </c>
      <c r="L20" s="40">
        <f>adm066051!L19+'gaas 04320'!L19+'Küte 043601'!L21+'küte 043602'!L19+'HV 052001'!L19+'HV 052003'!L19+'HV 052004'!L19+'JV 063001'!L19+'JV 063003'!L19+'JV 063004'!L19+'JV 063005'!L19+'JV 063006'!L19+'JV 063007'!L19+'El 064001'!L19+'EH 066011'!L19+MT066013!L19</f>
        <v>-204222.65</v>
      </c>
      <c r="M20" s="40">
        <f>adm066051!M19+'gaas 04320'!M19+'Küte 043601'!M21+'küte 043602'!M19+'HV 052001'!M19+'HV 052003'!M19+'HV 052004'!M19+'JV 063001'!M19+'JV 063003'!M19+'JV 063004'!M19+'JV 063005'!M19+'JV 063006'!M19+'JV 063007'!M19+'El 064001'!M19+'EH 066011'!M19+MT066013!M19</f>
        <v>-206604.39999999997</v>
      </c>
      <c r="N20" s="4">
        <f>adm066051!N19+'gaas 04320'!N19+'Küte 043601'!N21+'küte 043602'!N19+'HV 052001'!N19+'HV 052003'!N19+'HV 052004'!N19+'JV 063001'!N19+'JV 063003'!N19+'JV 063004'!N19+'JV 063005'!N19+'JV 063006'!N19+'JV 063007'!N19+'El 064001'!N19+'EH 066011'!N19+MT066013!N19</f>
        <v>-155873.4964</v>
      </c>
      <c r="O20" s="4">
        <f>adm066051!O19+'gaas 04320'!O19+'Küte 043601'!O21+'küte 043602'!O19+'HV 052001'!O19+'HV 052003'!O19+'HV 052004'!O19+'JV 063001'!O19+'JV 063003'!O19+'JV 063004'!O19+'JV 063005'!O19+'JV 063006'!O19+'JV 063007'!O19+'El 064001'!O19+'EH 066011'!O19+MT066013!O19</f>
        <v>-217719.19999999998</v>
      </c>
      <c r="P20" s="4">
        <f>adm066051!P19+'gaas 04320'!P19+'Küte 043601'!P21+'küte 043602'!P19+'HV 052001'!P19+'HV 052003'!P19+'HV 052004'!P19+'JV 063001'!P19+'JV 063003'!P19+'JV 063004'!P19+'JV 063005'!P19+'JV 063006'!P19+'JV 063007'!P19+'El 064001'!P19+'EH 066011'!P19+MT066013!P19</f>
        <v>-235504.65</v>
      </c>
      <c r="Q20" s="4">
        <f>adm066051!Q19+'gaas 04320'!Q19+'Küte 043601'!Q21+'küte 043602'!Q19+'HV 052001'!Q19+'HV 052003'!Q19+'HV 052004'!Q19+'JV 063001'!Q19+'JV 063003'!Q19+'JV 063004'!Q19+'JV 063005'!Q19+'JV 063006'!Q19+'JV 063007'!Q19+'El 064001'!Q19+'EH 066011'!Q19+MT066013!Q19</f>
        <v>-153599.15</v>
      </c>
      <c r="R20" s="4">
        <f>adm066051!R19+'gaas 04320'!R19+'Küte 043601'!R21+'küte 043602'!R19+'HV 052001'!R19+'HV 052003'!R19+'HV 052004'!R19+'JV 063001'!R19+'JV 063003'!R19+'JV 063004'!R19+'JV 063005'!R19+'JV 063006'!R19+'JV 063007'!R19+'El 064001'!R19+'EH 066011'!R19+MT066013!R19</f>
        <v>-184812.89999999997</v>
      </c>
      <c r="S20" s="4">
        <f>adm066051!S19+'gaas 04320'!S19+'Küte 043601'!S21+'küte 043602'!S19+'HV 052001'!S19+'HV 052003'!S19+'HV 052004'!S19+'JV 063001'!S19+'JV 063003'!S19+'JV 063004'!S19+'JV 063005'!S19+'JV 063006'!S19+'JV 063007'!S19+'El 064001'!S19+'EH 066011'!S19+MT066013!S19</f>
        <v>-170054</v>
      </c>
      <c r="T20" s="4">
        <f>adm066051!T19+'gaas 04320'!T19+'Küte 043601'!T21+'küte 043602'!T19+'HV 052001'!T19+'HV 052003'!T19+'HV 052004'!T19+'JV 063001'!T19+'JV 063003'!T19+'JV 063004'!T19+'JV 063005'!T19+'JV 063006'!T19+'JV 063007'!T19+'El 064001'!T19+'EH 066011'!T19+MT066013!T19</f>
        <v>-166725.5</v>
      </c>
    </row>
    <row r="21" spans="1:20" ht="12.75">
      <c r="A21" s="6" t="s">
        <v>10</v>
      </c>
      <c r="B21" s="6" t="s">
        <v>13</v>
      </c>
      <c r="C21" s="6" t="s">
        <v>13</v>
      </c>
      <c r="D21" s="6" t="s">
        <v>4</v>
      </c>
      <c r="E21" s="6" t="s">
        <v>28</v>
      </c>
      <c r="F21" s="4">
        <f>adm066051!F20+'gaas 04320'!F20+'Küte 043601'!F22+'küte 043602'!F20+'HV 052001'!F20+'HV 052003'!F20+'HV 052004'!F20+'JV 063001'!F20+'JV 063003'!F20+'JV 063004'!F20+'JV 063005'!F20+'JV 063006'!F20+'JV 063007'!F20+'El 064001'!F20+'EH 066011'!F20+MT066013!F20</f>
        <v>-1604469.3499999996</v>
      </c>
      <c r="G21" s="4">
        <f>adm066051!G20+'gaas 04320'!G20+'Küte 043601'!G22+'küte 043602'!G20+'HV 052001'!G20+'HV 052003'!G20+'HV 052004'!G20+'JV 063001'!G20+'JV 063003'!G20+'JV 063004'!G20+'JV 063005'!G20+'JV 063006'!G20+'JV 063007'!G20+'El 064001'!G20+'EH 066011'!G20+MT066013!G20</f>
        <v>-1619385.2100000002</v>
      </c>
      <c r="H21" s="7">
        <f t="shared" si="0"/>
        <v>-1680832.7999999996</v>
      </c>
      <c r="I21" s="40">
        <f>adm066051!I20+'gaas 04320'!I20+'Küte 043601'!I22+'küte 043602'!I20+'HV 052001'!I20+'HV 052003'!I20+'HV 052004'!I20+'JV 063001'!I20+'JV 063003'!I20+'JV 063004'!I20+'JV 063005'!I20+'JV 063006'!I20+'JV 063007'!I20+'El 064001'!I20+'EH 066011'!I20+MT066013!I20</f>
        <v>-139110.65</v>
      </c>
      <c r="J21" s="40">
        <f>adm066051!J20+'gaas 04320'!J20+'Küte 043601'!J22+'küte 043602'!J20+'HV 052001'!J20+'HV 052003'!J20+'HV 052004'!J20+'JV 063001'!J20+'JV 063003'!J20+'JV 063004'!J20+'JV 063005'!J20+'JV 063006'!J20+'JV 063007'!J20+'El 064001'!J20+'EH 066011'!J20+MT066013!J20</f>
        <v>-136431.05</v>
      </c>
      <c r="K21" s="40">
        <f>adm066051!K20+'gaas 04320'!K20+'Küte 043601'!K22+'küte 043602'!K20+'HV 052001'!K20+'HV 052003'!K20+'HV 052004'!K20+'JV 063001'!K20+'JV 063003'!K20+'JV 063004'!K20+'JV 063005'!K20+'JV 063006'!K20+'JV 063007'!K20+'El 064001'!K20+'EH 066011'!K20+MT066013!K20</f>
        <v>-143741.15</v>
      </c>
      <c r="L21" s="40">
        <f>adm066051!L20+'gaas 04320'!L20+'Küte 043601'!L22+'küte 043602'!L20+'HV 052001'!L20+'HV 052003'!L20+'HV 052004'!L20+'JV 063001'!L20+'JV 063003'!L20+'JV 063004'!L20+'JV 063005'!L20+'JV 063006'!L20+'JV 063007'!L20+'El 064001'!L20+'EH 066011'!L20+MT066013!L20</f>
        <v>-150068.65</v>
      </c>
      <c r="M21" s="40">
        <f>adm066051!M20+'gaas 04320'!M20+'Küte 043601'!M22+'küte 043602'!M20+'HV 052001'!M20+'HV 052003'!M20+'HV 052004'!M20+'JV 063001'!M20+'JV 063003'!M20+'JV 063004'!M20+'JV 063005'!M20+'JV 063006'!M20+'JV 063007'!M20+'El 064001'!M20+'EH 066011'!M20+MT066013!M20</f>
        <v>-154113.39999999997</v>
      </c>
      <c r="N21" s="4">
        <f>adm066051!N20+'gaas 04320'!N20+'Küte 043601'!N22+'küte 043602'!N20+'HV 052001'!N20+'HV 052003'!N20+'HV 052004'!N20+'JV 063001'!N20+'JV 063003'!N20+'JV 063004'!N20+'JV 063005'!N20+'JV 063006'!N20+'JV 063007'!N20+'El 064001'!N20+'EH 066011'!N20+MT066013!N20</f>
        <v>-116202.5</v>
      </c>
      <c r="O21" s="4">
        <f>adm066051!O20+'gaas 04320'!O20+'Küte 043601'!O22+'küte 043602'!O20+'HV 052001'!O20+'HV 052003'!O20+'HV 052004'!O20+'JV 063001'!O20+'JV 063003'!O20+'JV 063004'!O20+'JV 063005'!O20+'JV 063006'!O20+'JV 063007'!O20+'El 064001'!O20+'EH 066011'!O20+MT066013!O20</f>
        <v>-162342.19999999998</v>
      </c>
      <c r="P21" s="4">
        <f>adm066051!P20+'gaas 04320'!P20+'Küte 043601'!P22+'küte 043602'!P20+'HV 052001'!P20+'HV 052003'!P20+'HV 052004'!P20+'JV 063001'!P20+'JV 063003'!P20+'JV 063004'!P20+'JV 063005'!P20+'JV 063006'!P20+'JV 063007'!P20+'El 064001'!P20+'EH 066011'!P20+MT066013!P20</f>
        <v>-176220.65</v>
      </c>
      <c r="Q21" s="4">
        <f>adm066051!Q20+'gaas 04320'!Q20+'Küte 043601'!Q22+'küte 043602'!Q20+'HV 052001'!Q20+'HV 052003'!Q20+'HV 052004'!Q20+'JV 063001'!Q20+'JV 063003'!Q20+'JV 063004'!Q20+'JV 063005'!Q20+'JV 063006'!Q20+'JV 063007'!Q20+'El 064001'!Q20+'EH 066011'!Q20+MT066013!Q20</f>
        <v>-114509.15000000001</v>
      </c>
      <c r="R21" s="4">
        <f>adm066051!R20+'gaas 04320'!R20+'Küte 043601'!R22+'küte 043602'!R20+'HV 052001'!R20+'HV 052003'!R20+'HV 052004'!R20+'JV 063001'!R20+'JV 063003'!R20+'JV 063004'!R20+'JV 063005'!R20+'JV 063006'!R20+'JV 063007'!R20+'El 064001'!R20+'EH 066011'!R20+MT066013!R20</f>
        <v>-138178.89999999997</v>
      </c>
      <c r="S21" s="4">
        <f>adm066051!S20+'gaas 04320'!S20+'Küte 043601'!S22+'küte 043602'!S20+'HV 052001'!S20+'HV 052003'!S20+'HV 052004'!S20+'JV 063001'!S20+'JV 063003'!S20+'JV 063004'!S20+'JV 063005'!S20+'JV 063006'!S20+'JV 063007'!S20+'El 064001'!S20+'EH 066011'!S20+MT066013!S20</f>
        <v>-126752</v>
      </c>
      <c r="T21" s="4">
        <f>adm066051!T20+'gaas 04320'!T20+'Küte 043601'!T22+'küte 043602'!T20+'HV 052001'!T20+'HV 052003'!T20+'HV 052004'!T20+'JV 063001'!T20+'JV 063003'!T20+'JV 063004'!T20+'JV 063005'!T20+'JV 063006'!T20+'JV 063007'!T20+'El 064001'!T20+'EH 066011'!T20+MT066013!T20</f>
        <v>-123162.49999999999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6</v>
      </c>
      <c r="E22" s="12" t="s">
        <v>29</v>
      </c>
      <c r="F22" s="4">
        <f>adm066051!F21+'gaas 04320'!F21+'Küte 043601'!F23+'küte 043602'!F21+'HV 052001'!F21+'HV 052003'!F21+'HV 052004'!F21+'JV 063001'!F21+'JV 063003'!F21+'JV 063004'!F21+'JV 063005'!F21+'JV 063006'!F21+'JV 063007'!F21+'El 064001'!F21+'EH 066011'!F21+MT066013!F21</f>
        <v>-1603195.3499999996</v>
      </c>
      <c r="G22" s="4">
        <f>adm066051!G21+'gaas 04320'!G21+'Küte 043601'!G23+'küte 043602'!G21+'HV 052001'!G21+'HV 052003'!G21+'HV 052004'!G21+'JV 063001'!G21+'JV 063003'!G21+'JV 063004'!G21+'JV 063005'!G21+'JV 063006'!G21+'JV 063007'!G21+'El 064001'!G21+'EH 066011'!G21+MT066013!G21</f>
        <v>-1593271.2100000002</v>
      </c>
      <c r="H22" s="10">
        <f t="shared" si="0"/>
        <v>-1648102.0999999999</v>
      </c>
      <c r="I22" s="38">
        <f>adm066051!I21+'gaas 04320'!I21+'Küte 043601'!I23+'küte 043602'!I21+'HV 052001'!I21+'HV 052003'!I21+'HV 052004'!I21+'JV 063001'!I21+'JV 063003'!I21+'JV 063004'!I21+'JV 063005'!I21+'JV 063006'!I21+'JV 063007'!I21+'El 064001'!I21+'EH 066011'!I21+MT066013!I21</f>
        <v>-139110.65</v>
      </c>
      <c r="J22" s="38">
        <f>adm066051!J21+'gaas 04320'!J21+'Küte 043601'!J23+'küte 043602'!J21+'HV 052001'!J21+'HV 052003'!J21+'HV 052004'!J21+'JV 063001'!J21+'JV 063003'!J21+'JV 063004'!J21+'JV 063005'!J21+'JV 063006'!J21+'JV 063007'!J21+'El 064001'!J21+'EH 066011'!J21+MT066013!J21</f>
        <v>-120679.05</v>
      </c>
      <c r="K22" s="38">
        <f>adm066051!K21+'gaas 04320'!K21+'Küte 043601'!K23+'küte 043602'!K21+'HV 052001'!K21+'HV 052003'!K21+'HV 052004'!K21+'JV 063001'!K21+'JV 063003'!K21+'JV 063004'!K21+'JV 063005'!K21+'JV 063006'!K21+'JV 063007'!K21+'El 064001'!K21+'EH 066011'!K21+MT066013!K21</f>
        <v>-143741.15</v>
      </c>
      <c r="L22" s="38">
        <f>adm066051!L21+'gaas 04320'!L21+'Küte 043601'!L23+'küte 043602'!L21+'HV 052001'!L21+'HV 052003'!L21+'HV 052004'!L21+'JV 063001'!L21+'JV 063003'!L21+'JV 063004'!L21+'JV 063005'!L21+'JV 063006'!L21+'JV 063007'!L21+'El 064001'!L21+'EH 066011'!L21+MT066013!L21</f>
        <v>-150068.65</v>
      </c>
      <c r="M22" s="38">
        <f>adm066051!M21+'gaas 04320'!M21+'Küte 043601'!M23+'küte 043602'!M21+'HV 052001'!M21+'HV 052003'!M21+'HV 052004'!M21+'JV 063001'!M21+'JV 063003'!M21+'JV 063004'!M21+'JV 063005'!M21+'JV 063006'!M21+'JV 063007'!M21+'El 064001'!M21+'EH 066011'!M21+MT066013!M21</f>
        <v>-154113.39999999997</v>
      </c>
      <c r="N22" s="13">
        <f>adm066051!N21+'gaas 04320'!N21+'Küte 043601'!N23+'küte 043602'!N21+'HV 052001'!N21+'HV 052003'!N21+'HV 052004'!N21+'JV 063001'!N21+'JV 063003'!N21+'JV 063004'!N21+'JV 063005'!N21+'JV 063006'!N21+'JV 063007'!N21+'El 064001'!N21+'EH 066011'!N21+MT066013!N21</f>
        <v>-116202.5</v>
      </c>
      <c r="O22" s="13">
        <f>adm066051!O21+'gaas 04320'!O21+'Küte 043601'!O23+'küte 043602'!O21+'HV 052001'!O21+'HV 052003'!O21+'HV 052004'!O21+'JV 063001'!O21+'JV 063003'!O21+'JV 063004'!O21+'JV 063005'!O21+'JV 063006'!O21+'JV 063007'!O21+'El 064001'!O21+'EH 066011'!O21+MT066013!O21</f>
        <v>-162342.19999999998</v>
      </c>
      <c r="P22" s="13">
        <f>adm066051!P21+'gaas 04320'!P21+'Küte 043601'!P23+'küte 043602'!P21+'HV 052001'!P21+'HV 052003'!P21+'HV 052004'!P21+'JV 063001'!P21+'JV 063003'!P21+'JV 063004'!P21+'JV 063005'!P21+'JV 063006'!P21+'JV 063007'!P21+'El 064001'!P21+'EH 066011'!P21+MT066013!P21</f>
        <v>-163072.1</v>
      </c>
      <c r="Q22" s="13">
        <f>adm066051!Q21+'gaas 04320'!Q21+'Küte 043601'!Q23+'küte 043602'!Q21+'HV 052001'!Q21+'HV 052003'!Q21+'HV 052004'!Q21+'JV 063001'!Q21+'JV 063003'!Q21+'JV 063004'!Q21+'JV 063005'!Q21+'JV 063006'!Q21+'JV 063007'!Q21+'El 064001'!Q21+'EH 066011'!Q21+MT066013!Q21</f>
        <v>-111981.99999999999</v>
      </c>
      <c r="R22" s="13">
        <f>adm066051!R21+'gaas 04320'!R21+'Küte 043601'!R23+'küte 043602'!R21+'HV 052001'!R21+'HV 052003'!R21+'HV 052004'!R21+'JV 063001'!R21+'JV 063003'!R21+'JV 063004'!R21+'JV 063005'!R21+'JV 063006'!R21+'JV 063007'!R21+'El 064001'!R21+'EH 066011'!R21+MT066013!R21</f>
        <v>-138178.89999999997</v>
      </c>
      <c r="S22" s="13">
        <f>adm066051!S21+'gaas 04320'!S21+'Küte 043601'!S23+'küte 043602'!S21+'HV 052001'!S21+'HV 052003'!S21+'HV 052004'!S21+'JV 063001'!S21+'JV 063003'!S21+'JV 063004'!S21+'JV 063005'!S21+'JV 063006'!S21+'JV 063007'!S21+'El 064001'!S21+'EH 066011'!S21+MT066013!S21</f>
        <v>-126752</v>
      </c>
      <c r="T22" s="13">
        <f>adm066051!T21+'gaas 04320'!T21+'Küte 043601'!T23+'küte 043602'!T21+'HV 052001'!T21+'HV 052003'!T21+'HV 052004'!T21+'JV 063001'!T21+'JV 063003'!T21+'JV 063004'!T21+'JV 063005'!T21+'JV 063006'!T21+'JV 063007'!T21+'El 064001'!T21+'EH 066011'!T21+MT066013!T21</f>
        <v>-121859.49999999999</v>
      </c>
    </row>
    <row r="23" spans="1:20" ht="12.75">
      <c r="A23" s="12" t="s">
        <v>10</v>
      </c>
      <c r="B23" s="12" t="s">
        <v>13</v>
      </c>
      <c r="C23" s="12" t="s">
        <v>13</v>
      </c>
      <c r="D23" s="12" t="s">
        <v>10</v>
      </c>
      <c r="E23" s="12" t="s">
        <v>30</v>
      </c>
      <c r="F23" s="4">
        <f>adm066051!F22+'gaas 04320'!F22+'Küte 043601'!F24+'küte 043602'!F22+'HV 052001'!F22+'HV 052003'!F22+'HV 052004'!F22+'JV 063001'!F22+'JV 063003'!F22+'JV 063004'!F22+'JV 063005'!F22+'JV 063006'!F22+'JV 063007'!F22+'El 064001'!F22+'EH 066011'!F22+MT066013!F22</f>
        <v>-1274</v>
      </c>
      <c r="G23" s="4">
        <f>adm066051!G22+'gaas 04320'!G22+'Küte 043601'!G24+'küte 043602'!G22+'HV 052001'!G22+'HV 052003'!G22+'HV 052004'!G22+'JV 063001'!G22+'JV 063003'!G22+'JV 063004'!G22+'JV 063005'!G22+'JV 063006'!G22+'JV 063007'!G22+'El 064001'!G22+'EH 066011'!G22+MT066013!G22</f>
        <v>-26114</v>
      </c>
      <c r="H23" s="10">
        <f t="shared" si="0"/>
        <v>-32730.7</v>
      </c>
      <c r="I23" s="38">
        <f>adm066051!I22+'gaas 04320'!I22+'Küte 043601'!I24+'küte 043602'!I22+'HV 052001'!I22+'HV 052003'!I22+'HV 052004'!I22+'JV 063001'!I22+'JV 063003'!I22+'JV 063004'!I22+'JV 063005'!I22+'JV 063006'!I22+'JV 063007'!I22+'El 064001'!I22+'EH 066011'!I22+MT066013!I22</f>
        <v>0</v>
      </c>
      <c r="J23" s="38">
        <f>adm066051!J22+'gaas 04320'!J22+'Küte 043601'!J24+'küte 043602'!J22+'HV 052001'!J22+'HV 052003'!J22+'HV 052004'!J22+'JV 063001'!J22+'JV 063003'!J22+'JV 063004'!J22+'JV 063005'!J22+'JV 063006'!J22+'JV 063007'!J22+'El 064001'!J22+'EH 066011'!J22+MT066013!J22</f>
        <v>-15752</v>
      </c>
      <c r="K23" s="38">
        <f>adm066051!K22+'gaas 04320'!K22+'Küte 043601'!K24+'küte 043602'!K22+'HV 052001'!K22+'HV 052003'!K22+'HV 052004'!K22+'JV 063001'!K22+'JV 063003'!K22+'JV 063004'!K22+'JV 063005'!K22+'JV 063006'!K22+'JV 063007'!K22+'El 064001'!K22+'EH 066011'!K22+MT066013!K22</f>
        <v>0</v>
      </c>
      <c r="L23" s="38">
        <f>adm066051!L22+'gaas 04320'!L22+'Küte 043601'!L24+'küte 043602'!L22+'HV 052001'!L22+'HV 052003'!L22+'HV 052004'!L22+'JV 063001'!L22+'JV 063003'!L22+'JV 063004'!L22+'JV 063005'!L22+'JV 063006'!L22+'JV 063007'!L22+'El 064001'!L22+'EH 066011'!L22+MT066013!L22</f>
        <v>0</v>
      </c>
      <c r="M23" s="38">
        <f>adm066051!M22+'gaas 04320'!M22+'Küte 043601'!M24+'küte 043602'!M22+'HV 052001'!M22+'HV 052003'!M22+'HV 052004'!M22+'JV 063001'!M22+'JV 063003'!M22+'JV 063004'!M22+'JV 063005'!M22+'JV 063006'!M22+'JV 063007'!M22+'El 064001'!M22+'EH 066011'!M22+MT066013!M22</f>
        <v>0</v>
      </c>
      <c r="N23" s="13">
        <f>adm066051!N22+'gaas 04320'!N22+'Küte 043601'!N24+'küte 043602'!N22+'HV 052001'!N22+'HV 052003'!N22+'HV 052004'!N22+'JV 063001'!N22+'JV 063003'!N22+'JV 063004'!N22+'JV 063005'!N22+'JV 063006'!N22+'JV 063007'!N22+'El 064001'!N22+'EH 066011'!N22+MT066013!N22</f>
        <v>0</v>
      </c>
      <c r="O23" s="13">
        <f>adm066051!O22+'gaas 04320'!O22+'Küte 043601'!O24+'küte 043602'!O22+'HV 052001'!O22+'HV 052003'!O22+'HV 052004'!O22+'JV 063001'!O22+'JV 063003'!O22+'JV 063004'!O22+'JV 063005'!O22+'JV 063006'!O22+'JV 063007'!O22+'El 064001'!O22+'EH 066011'!O22+MT066013!O22</f>
        <v>0</v>
      </c>
      <c r="P23" s="13">
        <f>adm066051!P22+'gaas 04320'!P22+'Küte 043601'!P24+'küte 043602'!P22+'HV 052001'!P22+'HV 052003'!P22+'HV 052004'!P22+'JV 063001'!P22+'JV 063003'!P22+'JV 063004'!P22+'JV 063005'!P22+'JV 063006'!P22+'JV 063007'!P22+'El 064001'!P22+'EH 066011'!P22+MT066013!P22</f>
        <v>-13148.55</v>
      </c>
      <c r="Q23" s="13">
        <f>adm066051!Q22+'gaas 04320'!Q22+'Küte 043601'!Q24+'küte 043602'!Q22+'HV 052001'!Q22+'HV 052003'!Q22+'HV 052004'!Q22+'JV 063001'!Q22+'JV 063003'!Q22+'JV 063004'!Q22+'JV 063005'!Q22+'JV 063006'!Q22+'JV 063007'!Q22+'El 064001'!Q22+'EH 066011'!Q22+MT066013!Q22</f>
        <v>-2527.15</v>
      </c>
      <c r="R23" s="13">
        <f>adm066051!R22+'gaas 04320'!R22+'Küte 043601'!R24+'küte 043602'!R22+'HV 052001'!R22+'HV 052003'!R22+'HV 052004'!R22+'JV 063001'!R22+'JV 063003'!R22+'JV 063004'!R22+'JV 063005'!R22+'JV 063006'!R22+'JV 063007'!R22+'El 064001'!R22+'EH 066011'!R22+MT066013!R22</f>
        <v>0</v>
      </c>
      <c r="S23" s="13">
        <f>adm066051!S22+'gaas 04320'!S22+'Küte 043601'!S24+'küte 043602'!S22+'HV 052001'!S22+'HV 052003'!S22+'HV 052004'!S22+'JV 063001'!S22+'JV 063003'!S22+'JV 063004'!S22+'JV 063005'!S22+'JV 063006'!S22+'JV 063007'!S22+'El 064001'!S22+'EH 066011'!S22+MT066013!S22</f>
        <v>0</v>
      </c>
      <c r="T23" s="13">
        <f>adm066051!T22+'gaas 04320'!T22+'Küte 043601'!T24+'küte 043602'!T22+'HV 052001'!T22+'HV 052003'!T22+'HV 052004'!T22+'JV 063001'!T22+'JV 063003'!T22+'JV 063004'!T22+'JV 063005'!T22+'JV 063006'!T22+'JV 063007'!T22+'El 064001'!T22+'EH 066011'!T22+MT066013!T22</f>
        <v>-1303</v>
      </c>
    </row>
    <row r="24" spans="1:20" ht="12.75">
      <c r="A24" s="14">
        <v>5</v>
      </c>
      <c r="B24" s="14">
        <v>0</v>
      </c>
      <c r="C24" s="14">
        <v>5</v>
      </c>
      <c r="D24" s="14"/>
      <c r="E24" s="14" t="s">
        <v>31</v>
      </c>
      <c r="F24" s="4">
        <f>adm066051!F23+'gaas 04320'!F23+'Küte 043601'!F25+'küte 043602'!F23+'HV 052001'!F23+'HV 052003'!F23+'HV 052004'!F23+'JV 063001'!F23+'JV 063003'!F23+'JV 063004'!F23+'JV 063005'!F23+'JV 063006'!F23+'JV 063007'!F23+'El 064001'!F23+'EH 066011'!F23+MT066013!F23</f>
        <v>-7605</v>
      </c>
      <c r="G24" s="4">
        <f>adm066051!G23+'gaas 04320'!G23+'Küte 043601'!G25+'küte 043602'!G23+'HV 052001'!G23+'HV 052003'!G23+'HV 052004'!G23+'JV 063001'!G23+'JV 063003'!G23+'JV 063004'!G23+'JV 063005'!G23+'JV 063006'!G23+'JV 063007'!G23+'El 064001'!G23+'EH 066011'!G23+MT066013!G23</f>
        <v>-3506.63</v>
      </c>
      <c r="H24" s="7">
        <f t="shared" si="0"/>
        <v>-4252</v>
      </c>
      <c r="I24" s="42">
        <f>adm066051!I23+'gaas 04320'!I23+'Küte 043601'!I25+'küte 043602'!I23+'HV 052001'!I23+'HV 052003'!I23+'HV 052004'!I23+'JV 063001'!I23+'JV 063003'!I23+'JV 063004'!I23+'JV 063005'!I23+'JV 063006'!I23+'JV 063007'!I23+'El 064001'!I23+'EH 066011'!I23+MT066013!I23</f>
        <v>0</v>
      </c>
      <c r="J24" s="42">
        <f>adm066051!J23+'gaas 04320'!J23+'Küte 043601'!J25+'küte 043602'!J23+'HV 052001'!J23+'HV 052003'!J23+'HV 052004'!J23+'JV 063001'!J23+'JV 063003'!J23+'JV 063004'!J23+'JV 063005'!J23+'JV 063006'!J23+'JV 063007'!J23+'El 064001'!J23+'EH 066011'!J23+MT066013!J23</f>
        <v>0</v>
      </c>
      <c r="K24" s="42">
        <f>adm066051!K23+'gaas 04320'!K23+'Küte 043601'!K25+'küte 043602'!K23+'HV 052001'!K23+'HV 052003'!K23+'HV 052004'!K23+'JV 063001'!K23+'JV 063003'!K23+'JV 063004'!K23+'JV 063005'!K23+'JV 063006'!K23+'JV 063007'!K23+'El 064001'!K23+'EH 066011'!K23+MT066013!K23</f>
        <v>0</v>
      </c>
      <c r="L24" s="42">
        <f>adm066051!L23+'gaas 04320'!L23+'Küte 043601'!L25+'küte 043602'!L23+'HV 052001'!L23+'HV 052003'!L23+'HV 052004'!L23+'JV 063001'!L23+'JV 063003'!L23+'JV 063004'!L23+'JV 063005'!L23+'JV 063006'!L23+'JV 063007'!L23+'El 064001'!L23+'EH 066011'!L23+MT066013!L23</f>
        <v>-3127</v>
      </c>
      <c r="M24" s="42">
        <f>adm066051!M23+'gaas 04320'!M23+'Küte 043601'!M25+'küte 043602'!M23+'HV 052001'!M23+'HV 052003'!M23+'HV 052004'!M23+'JV 063001'!M23+'JV 063003'!M23+'JV 063004'!M23+'JV 063005'!M23+'JV 063006'!M23+'JV 063007'!M23+'El 064001'!M23+'EH 066011'!M23+MT066013!M23</f>
        <v>0</v>
      </c>
      <c r="N24" s="15">
        <f>adm066051!N23+'gaas 04320'!N23+'Küte 043601'!N25+'küte 043602'!N23+'HV 052001'!N23+'HV 052003'!N23+'HV 052004'!N23+'JV 063001'!N23+'JV 063003'!N23+'JV 063004'!N23+'JV 063005'!N23+'JV 063006'!N23+'JV 063007'!N23+'El 064001'!N23+'EH 066011'!N23+MT066013!N23</f>
        <v>0</v>
      </c>
      <c r="O24" s="15">
        <f>adm066051!O23+'gaas 04320'!O23+'Küte 043601'!O25+'küte 043602'!O23+'HV 052001'!O23+'HV 052003'!O23+'HV 052004'!O23+'JV 063001'!O23+'JV 063003'!O23+'JV 063004'!O23+'JV 063005'!O23+'JV 063006'!O23+'JV 063007'!O23+'El 064001'!O23+'EH 066011'!O23+MT066013!O23</f>
        <v>0</v>
      </c>
      <c r="P24" s="15">
        <f>adm066051!P23+'gaas 04320'!P23+'Küte 043601'!P25+'küte 043602'!P23+'HV 052001'!P23+'HV 052003'!P23+'HV 052004'!P23+'JV 063001'!P23+'JV 063003'!P23+'JV 063004'!P23+'JV 063005'!P23+'JV 063006'!P23+'JV 063007'!P23+'El 064001'!P23+'EH 066011'!P23+MT066013!P23</f>
        <v>0</v>
      </c>
      <c r="Q24" s="15">
        <f>adm066051!Q23+'gaas 04320'!Q23+'Küte 043601'!Q25+'küte 043602'!Q23+'HV 052001'!Q23+'HV 052003'!Q23+'HV 052004'!Q23+'JV 063001'!Q23+'JV 063003'!Q23+'JV 063004'!Q23+'JV 063005'!Q23+'JV 063006'!Q23+'JV 063007'!Q23+'El 064001'!Q23+'EH 066011'!Q23+MT066013!Q23</f>
        <v>0</v>
      </c>
      <c r="R24" s="15">
        <f>adm066051!R23+'gaas 04320'!R23+'Küte 043601'!R25+'küte 043602'!R23+'HV 052001'!R23+'HV 052003'!R23+'HV 052004'!R23+'JV 063001'!R23+'JV 063003'!R23+'JV 063004'!R23+'JV 063005'!R23+'JV 063006'!R23+'JV 063007'!R23+'El 064001'!R23+'EH 066011'!R23+MT066013!R23</f>
        <v>0</v>
      </c>
      <c r="S24" s="15">
        <f>adm066051!S23+'gaas 04320'!S23+'Küte 043601'!S25+'küte 043602'!S23+'HV 052001'!S23+'HV 052003'!S23+'HV 052004'!S23+'JV 063001'!S23+'JV 063003'!S23+'JV 063004'!S23+'JV 063005'!S23+'JV 063006'!S23+'JV 063007'!S23+'El 064001'!S23+'EH 066011'!S23+MT066013!S23</f>
        <v>0</v>
      </c>
      <c r="T24" s="15">
        <f>adm066051!T23+'gaas 04320'!T23+'Küte 043601'!T25+'küte 043602'!T23+'HV 052001'!T23+'HV 052003'!T23+'HV 052004'!T23+'JV 063001'!T23+'JV 063003'!T23+'JV 063004'!T23+'JV 063005'!T23+'JV 063006'!T23+'JV 063007'!T23+'El 064001'!T23+'EH 066011'!T23+MT066013!T23</f>
        <v>-1125</v>
      </c>
    </row>
    <row r="25" spans="1:20" ht="12.75">
      <c r="A25" s="12">
        <v>5</v>
      </c>
      <c r="B25" s="12">
        <v>0</v>
      </c>
      <c r="C25" s="12">
        <v>5</v>
      </c>
      <c r="D25" s="12">
        <v>1</v>
      </c>
      <c r="E25" s="12" t="s">
        <v>32</v>
      </c>
      <c r="F25" s="4">
        <f>adm066051!F24+'gaas 04320'!F24+'Küte 043601'!F26+'küte 043602'!F24+'HV 052001'!F24+'HV 052003'!F24+'HV 052004'!F24+'JV 063001'!F24+'JV 063003'!F24+'JV 063004'!F24+'JV 063005'!F24+'JV 063006'!F24+'JV 063007'!F24+'El 064001'!F24+'EH 066011'!F24+MT066013!F24</f>
        <v>-3375</v>
      </c>
      <c r="G25" s="4">
        <f>adm066051!G24+'gaas 04320'!G24+'Küte 043601'!G26+'küte 043602'!G24+'HV 052001'!G24+'HV 052003'!G24+'HV 052004'!G24+'JV 063001'!G24+'JV 063003'!G24+'JV 063004'!G24+'JV 063005'!G24+'JV 063006'!G24+'JV 063007'!G24+'El 064001'!G24+'EH 066011'!G24+MT066013!G24</f>
        <v>-3506.63</v>
      </c>
      <c r="H25" s="10">
        <f t="shared" si="0"/>
        <v>-3127</v>
      </c>
      <c r="I25" s="38">
        <f>adm066051!I24+'gaas 04320'!I24+'Küte 043601'!I26+'küte 043602'!I24+'HV 052001'!I24+'HV 052003'!I24+'HV 052004'!I24+'JV 063001'!I24+'JV 063003'!I24+'JV 063004'!I24+'JV 063005'!I24+'JV 063006'!I24+'JV 063007'!I24+'El 064001'!I24+'EH 066011'!I24+MT066013!I24</f>
        <v>0</v>
      </c>
      <c r="J25" s="38">
        <f>adm066051!J24+'gaas 04320'!J24+'Küte 043601'!J26+'küte 043602'!J24+'HV 052001'!J24+'HV 052003'!J24+'HV 052004'!J24+'JV 063001'!J24+'JV 063003'!J24+'JV 063004'!J24+'JV 063005'!J24+'JV 063006'!J24+'JV 063007'!J24+'El 064001'!J24+'EH 066011'!J24+MT066013!J24</f>
        <v>0</v>
      </c>
      <c r="K25" s="38">
        <f>adm066051!K24+'gaas 04320'!K24+'Küte 043601'!K26+'küte 043602'!K24+'HV 052001'!K24+'HV 052003'!K24+'HV 052004'!K24+'JV 063001'!K24+'JV 063003'!K24+'JV 063004'!K24+'JV 063005'!K24+'JV 063006'!K24+'JV 063007'!K24+'El 064001'!K24+'EH 066011'!K24+MT066013!K24</f>
        <v>0</v>
      </c>
      <c r="L25" s="38">
        <f>adm066051!L24+'gaas 04320'!L24+'Küte 043601'!L26+'küte 043602'!L24+'HV 052001'!L24+'HV 052003'!L24+'HV 052004'!L24+'JV 063001'!L24+'JV 063003'!L24+'JV 063004'!L24+'JV 063005'!L24+'JV 063006'!L24+'JV 063007'!L24+'El 064001'!L24+'EH 066011'!L24+MT066013!L24</f>
        <v>-3127</v>
      </c>
      <c r="M25" s="38">
        <f>adm066051!M24+'gaas 04320'!M24+'Küte 043601'!M26+'küte 043602'!M24+'HV 052001'!M24+'HV 052003'!M24+'HV 052004'!M24+'JV 063001'!M24+'JV 063003'!M24+'JV 063004'!M24+'JV 063005'!M24+'JV 063006'!M24+'JV 063007'!M24+'El 064001'!M24+'EH 066011'!M24+MT066013!M24</f>
        <v>0</v>
      </c>
      <c r="N25" s="13">
        <f>adm066051!N24+'gaas 04320'!N24+'Küte 043601'!N26+'küte 043602'!N24+'HV 052001'!N24+'HV 052003'!N24+'HV 052004'!N24+'JV 063001'!N24+'JV 063003'!N24+'JV 063004'!N24+'JV 063005'!N24+'JV 063006'!N24+'JV 063007'!N24+'El 064001'!N24+'EH 066011'!N24+MT066013!N24</f>
        <v>0</v>
      </c>
      <c r="O25" s="13">
        <f>adm066051!O24+'gaas 04320'!O24+'Küte 043601'!O26+'küte 043602'!O24+'HV 052001'!O24+'HV 052003'!O24+'HV 052004'!O24+'JV 063001'!O24+'JV 063003'!O24+'JV 063004'!O24+'JV 063005'!O24+'JV 063006'!O24+'JV 063007'!O24+'El 064001'!O24+'EH 066011'!O24+MT066013!O24</f>
        <v>0</v>
      </c>
      <c r="P25" s="13">
        <f>adm066051!P24+'gaas 04320'!P24+'Küte 043601'!P26+'küte 043602'!P24+'HV 052001'!P24+'HV 052003'!P24+'HV 052004'!P24+'JV 063001'!P24+'JV 063003'!P24+'JV 063004'!P24+'JV 063005'!P24+'JV 063006'!P24+'JV 063007'!P24+'El 064001'!P24+'EH 066011'!P24+MT066013!P24</f>
        <v>0</v>
      </c>
      <c r="Q25" s="13">
        <f>adm066051!Q24+'gaas 04320'!Q24+'Küte 043601'!Q26+'küte 043602'!Q24+'HV 052001'!Q24+'HV 052003'!Q24+'HV 052004'!Q24+'JV 063001'!Q24+'JV 063003'!Q24+'JV 063004'!Q24+'JV 063005'!Q24+'JV 063006'!Q24+'JV 063007'!Q24+'El 064001'!Q24+'EH 066011'!Q24+MT066013!Q24</f>
        <v>0</v>
      </c>
      <c r="R25" s="13">
        <f>adm066051!R24+'gaas 04320'!R24+'Küte 043601'!R26+'küte 043602'!R24+'HV 052001'!R24+'HV 052003'!R24+'HV 052004'!R24+'JV 063001'!R24+'JV 063003'!R24+'JV 063004'!R24+'JV 063005'!R24+'JV 063006'!R24+'JV 063007'!R24+'El 064001'!R24+'EH 066011'!R24+MT066013!R24</f>
        <v>0</v>
      </c>
      <c r="S25" s="13">
        <f>adm066051!S24+'gaas 04320'!S24+'Küte 043601'!S26+'küte 043602'!S24+'HV 052001'!S24+'HV 052003'!S24+'HV 052004'!S24+'JV 063001'!S24+'JV 063003'!S24+'JV 063004'!S24+'JV 063005'!S24+'JV 063006'!S24+'JV 063007'!S24+'El 064001'!S24+'EH 066011'!S24+MT066013!S24</f>
        <v>0</v>
      </c>
      <c r="T25" s="13">
        <f>adm066051!T24+'gaas 04320'!T24+'Küte 043601'!T26+'küte 043602'!T24+'HV 052001'!T24+'HV 052003'!T24+'HV 052004'!T24+'JV 063001'!T24+'JV 063003'!T24+'JV 063004'!T24+'JV 063005'!T24+'JV 063006'!T24+'JV 063007'!T24+'El 064001'!T24+'EH 066011'!T24+MT066013!T24</f>
        <v>0</v>
      </c>
    </row>
    <row r="26" spans="1:20" ht="12.75">
      <c r="A26" s="12">
        <v>5</v>
      </c>
      <c r="B26" s="12">
        <v>0</v>
      </c>
      <c r="C26" s="12">
        <v>5</v>
      </c>
      <c r="D26" s="12">
        <v>8</v>
      </c>
      <c r="E26" s="12" t="s">
        <v>33</v>
      </c>
      <c r="F26" s="4">
        <f>adm066051!F25+'gaas 04320'!F25+'Küte 043601'!F27+'küte 043602'!F25+'HV 052001'!F25+'HV 052003'!F25+'HV 052004'!F25+'JV 063001'!F25+'JV 063003'!F25+'JV 063004'!F25+'JV 063005'!F25+'JV 063006'!F25+'JV 063007'!F25+'El 064001'!F25+'EH 066011'!F25+MT066013!F25</f>
        <v>-4230</v>
      </c>
      <c r="G26" s="4">
        <f>adm066051!G25+'gaas 04320'!G25+'Küte 043601'!G27+'küte 043602'!G25+'HV 052001'!G25+'HV 052003'!G25+'HV 052004'!G25+'JV 063001'!G25+'JV 063003'!G25+'JV 063004'!G25+'JV 063005'!G25+'JV 063006'!G25+'JV 063007'!G25+'El 064001'!G25+'EH 066011'!G25+MT066013!G25</f>
        <v>0</v>
      </c>
      <c r="H26" s="10">
        <f t="shared" si="0"/>
        <v>-1125</v>
      </c>
      <c r="I26" s="38">
        <f>adm066051!I25+'gaas 04320'!I25+'Küte 043601'!I27+'küte 043602'!I25+'HV 052001'!I25+'HV 052003'!I25+'HV 052004'!I25+'JV 063001'!I25+'JV 063003'!I25+'JV 063004'!I25+'JV 063005'!I25+'JV 063006'!I25+'JV 063007'!I25+'El 064001'!I25+'EH 066011'!I25+MT066013!I25</f>
        <v>0</v>
      </c>
      <c r="J26" s="38">
        <f>adm066051!J25+'gaas 04320'!J25+'Küte 043601'!J27+'küte 043602'!J25+'HV 052001'!J25+'HV 052003'!J25+'HV 052004'!J25+'JV 063001'!J25+'JV 063003'!J25+'JV 063004'!J25+'JV 063005'!J25+'JV 063006'!J25+'JV 063007'!J25+'El 064001'!J25+'EH 066011'!J25+MT066013!J25</f>
        <v>0</v>
      </c>
      <c r="K26" s="38">
        <f>adm066051!K25+'gaas 04320'!K25+'Küte 043601'!K27+'küte 043602'!K25+'HV 052001'!K25+'HV 052003'!K25+'HV 052004'!K25+'JV 063001'!K25+'JV 063003'!K25+'JV 063004'!K25+'JV 063005'!K25+'JV 063006'!K25+'JV 063007'!K25+'El 064001'!K25+'EH 066011'!K25+MT066013!K25</f>
        <v>0</v>
      </c>
      <c r="L26" s="38">
        <f>adm066051!L25+'gaas 04320'!L25+'Küte 043601'!L27+'küte 043602'!L25+'HV 052001'!L25+'HV 052003'!L25+'HV 052004'!L25+'JV 063001'!L25+'JV 063003'!L25+'JV 063004'!L25+'JV 063005'!L25+'JV 063006'!L25+'JV 063007'!L25+'El 064001'!L25+'EH 066011'!L25+MT066013!L25</f>
        <v>0</v>
      </c>
      <c r="M26" s="38">
        <f>adm066051!M25+'gaas 04320'!M25+'Küte 043601'!M27+'küte 043602'!M25+'HV 052001'!M25+'HV 052003'!M25+'HV 052004'!M25+'JV 063001'!M25+'JV 063003'!M25+'JV 063004'!M25+'JV 063005'!M25+'JV 063006'!M25+'JV 063007'!M25+'El 064001'!M25+'EH 066011'!M25+MT066013!M25</f>
        <v>0</v>
      </c>
      <c r="N26" s="13">
        <f>adm066051!N25+'gaas 04320'!N25+'Küte 043601'!N27+'küte 043602'!N25+'HV 052001'!N25+'HV 052003'!N25+'HV 052004'!N25+'JV 063001'!N25+'JV 063003'!N25+'JV 063004'!N25+'JV 063005'!N25+'JV 063006'!N25+'JV 063007'!N25+'El 064001'!N25+'EH 066011'!N25+MT066013!N25</f>
        <v>0</v>
      </c>
      <c r="O26" s="13">
        <f>adm066051!O25+'gaas 04320'!O25+'Küte 043601'!O27+'küte 043602'!O25+'HV 052001'!O25+'HV 052003'!O25+'HV 052004'!O25+'JV 063001'!O25+'JV 063003'!O25+'JV 063004'!O25+'JV 063005'!O25+'JV 063006'!O25+'JV 063007'!O25+'El 064001'!O25+'EH 066011'!O25+MT066013!O25</f>
        <v>0</v>
      </c>
      <c r="P26" s="13">
        <f>adm066051!P25+'gaas 04320'!P25+'Küte 043601'!P27+'küte 043602'!P25+'HV 052001'!P25+'HV 052003'!P25+'HV 052004'!P25+'JV 063001'!P25+'JV 063003'!P25+'JV 063004'!P25+'JV 063005'!P25+'JV 063006'!P25+'JV 063007'!P25+'El 064001'!P25+'EH 066011'!P25+MT066013!P25</f>
        <v>0</v>
      </c>
      <c r="Q26" s="13">
        <f>adm066051!Q25+'gaas 04320'!Q25+'Küte 043601'!Q27+'küte 043602'!Q25+'HV 052001'!Q25+'HV 052003'!Q25+'HV 052004'!Q25+'JV 063001'!Q25+'JV 063003'!Q25+'JV 063004'!Q25+'JV 063005'!Q25+'JV 063006'!Q25+'JV 063007'!Q25+'El 064001'!Q25+'EH 066011'!Q25+MT066013!Q25</f>
        <v>0</v>
      </c>
      <c r="R26" s="13">
        <f>adm066051!R25+'gaas 04320'!R25+'Küte 043601'!R27+'küte 043602'!R25+'HV 052001'!R25+'HV 052003'!R25+'HV 052004'!R25+'JV 063001'!R25+'JV 063003'!R25+'JV 063004'!R25+'JV 063005'!R25+'JV 063006'!R25+'JV 063007'!R25+'El 064001'!R25+'EH 066011'!R25+MT066013!R25</f>
        <v>0</v>
      </c>
      <c r="S26" s="13">
        <f>adm066051!S25+'gaas 04320'!S25+'Küte 043601'!S27+'küte 043602'!S25+'HV 052001'!S25+'HV 052003'!S25+'HV 052004'!S25+'JV 063001'!S25+'JV 063003'!S25+'JV 063004'!S25+'JV 063005'!S25+'JV 063006'!S25+'JV 063007'!S25+'El 064001'!S25+'EH 066011'!S25+MT066013!S25</f>
        <v>0</v>
      </c>
      <c r="T26" s="13">
        <f>adm066051!T25+'gaas 04320'!T25+'Küte 043601'!T27+'küte 043602'!T25+'HV 052001'!T25+'HV 052003'!T25+'HV 052004'!T25+'JV 063001'!T25+'JV 063003'!T25+'JV 063004'!T25+'JV 063005'!T25+'JV 063006'!T25+'JV 063007'!T25+'El 064001'!T25+'EH 066011'!T25+MT066013!T25</f>
        <v>-1125</v>
      </c>
    </row>
    <row r="27" spans="1:20" ht="12.75">
      <c r="A27" s="6" t="s">
        <v>10</v>
      </c>
      <c r="B27" s="6" t="s">
        <v>13</v>
      </c>
      <c r="C27" s="6" t="s">
        <v>34</v>
      </c>
      <c r="D27" s="6" t="s">
        <v>4</v>
      </c>
      <c r="E27" s="6" t="s">
        <v>35</v>
      </c>
      <c r="F27" s="4">
        <f>adm066051!F26+'gaas 04320'!F26+'Küte 043601'!F28+'küte 043602'!F26+'HV 052001'!F26+'HV 052003'!F26+'HV 052004'!F26+'JV 063001'!F26+'JV 063003'!F26+'JV 063004'!F26+'JV 063005'!F26+'JV 063006'!F26+'JV 063007'!F26+'El 064001'!F26+'EH 066011'!F26+MT066013!F26</f>
        <v>-534089.82</v>
      </c>
      <c r="G27" s="4">
        <f>adm066051!G26+'gaas 04320'!G26+'Küte 043601'!G28+'küte 043602'!G26+'HV 052001'!G26+'HV 052003'!G26+'HV 052004'!G26+'JV 063001'!G26+'JV 063003'!G26+'JV 063004'!G26+'JV 063005'!G26+'JV 063006'!G26+'JV 063007'!G26+'El 064001'!G26+'EH 066011'!G26+MT066013!G26</f>
        <v>-533825</v>
      </c>
      <c r="H27" s="7">
        <f t="shared" si="0"/>
        <v>-572539.9964000001</v>
      </c>
      <c r="I27" s="40">
        <f>adm066051!I26+'gaas 04320'!I26+'Küte 043601'!I28+'küte 043602'!I26+'HV 052001'!I26+'HV 052003'!I26+'HV 052004'!I26+'JV 063001'!I26+'JV 063003'!I26+'JV 063004'!I26+'JV 063005'!I26+'JV 063006'!I26+'JV 063007'!I26+'El 064001'!I26+'EH 066011'!I26+MT066013!I26</f>
        <v>-47518</v>
      </c>
      <c r="J27" s="40">
        <f>adm066051!J26+'gaas 04320'!J26+'Küte 043601'!J28+'küte 043602'!J26+'HV 052001'!J26+'HV 052003'!J26+'HV 052004'!J26+'JV 063001'!J26+'JV 063003'!J26+'JV 063004'!J26+'JV 063005'!J26+'JV 063006'!J26+'JV 063007'!J26+'El 064001'!J26+'EH 066011'!J26+MT066013!J26</f>
        <v>-46597</v>
      </c>
      <c r="K27" s="40">
        <f>adm066051!K26+'gaas 04320'!K26+'Küte 043601'!K28+'küte 043602'!K26+'HV 052001'!K26+'HV 052003'!K26+'HV 052004'!K26+'JV 063001'!K26+'JV 063003'!K26+'JV 063004'!K26+'JV 063005'!K26+'JV 063006'!K26+'JV 063007'!K26+'El 064001'!K26+'EH 066011'!K26+MT066013!K26</f>
        <v>-49111</v>
      </c>
      <c r="L27" s="40">
        <f>adm066051!L26+'gaas 04320'!L26+'Küte 043601'!L28+'küte 043602'!L26+'HV 052001'!L26+'HV 052003'!L26+'HV 052004'!L26+'JV 063001'!L26+'JV 063003'!L26+'JV 063004'!L26+'JV 063005'!L26+'JV 063006'!L26+'JV 063007'!L26+'El 064001'!L26+'EH 066011'!L26+MT066013!L26</f>
        <v>-51027</v>
      </c>
      <c r="M27" s="40">
        <f>adm066051!M26+'gaas 04320'!M26+'Küte 043601'!M28+'küte 043602'!M26+'HV 052001'!M26+'HV 052003'!M26+'HV 052004'!M26+'JV 063001'!M26+'JV 063003'!M26+'JV 063004'!M26+'JV 063005'!M26+'JV 063006'!M26+'JV 063007'!M26+'El 064001'!M26+'EH 066011'!M26+MT066013!M26</f>
        <v>-52491</v>
      </c>
      <c r="N27" s="4">
        <f>adm066051!N26+'gaas 04320'!N26+'Küte 043601'!N28+'küte 043602'!N26+'HV 052001'!N26+'HV 052003'!N26+'HV 052004'!N26+'JV 063001'!N26+'JV 063003'!N26+'JV 063004'!N26+'JV 063005'!N26+'JV 063006'!N26+'JV 063007'!N26+'El 064001'!N26+'EH 066011'!N26+MT066013!N26</f>
        <v>-39670.9964</v>
      </c>
      <c r="O27" s="4">
        <f>adm066051!O26+'gaas 04320'!O26+'Küte 043601'!O28+'küte 043602'!O26+'HV 052001'!O26+'HV 052003'!O26+'HV 052004'!O26+'JV 063001'!O26+'JV 063003'!O26+'JV 063004'!O26+'JV 063005'!O26+'JV 063006'!O26+'JV 063007'!O26+'El 064001'!O26+'EH 066011'!O26+MT066013!O26</f>
        <v>-55377</v>
      </c>
      <c r="P27" s="4">
        <f>adm066051!P26+'gaas 04320'!P26+'Küte 043601'!P28+'küte 043602'!P26+'HV 052001'!P26+'HV 052003'!P26+'HV 052004'!P26+'JV 063001'!P26+'JV 063003'!P26+'JV 063004'!P26+'JV 063005'!P26+'JV 063006'!P26+'JV 063007'!P26+'El 064001'!P26+'EH 066011'!P26+MT066013!P26</f>
        <v>-59284</v>
      </c>
      <c r="Q27" s="4">
        <f>adm066051!Q26+'gaas 04320'!Q26+'Küte 043601'!Q28+'küte 043602'!Q26+'HV 052001'!Q26+'HV 052003'!Q26+'HV 052004'!Q26+'JV 063001'!Q26+'JV 063003'!Q26+'JV 063004'!Q26+'JV 063005'!Q26+'JV 063006'!Q26+'JV 063007'!Q26+'El 064001'!Q26+'EH 066011'!Q26+MT066013!Q26</f>
        <v>-39090</v>
      </c>
      <c r="R27" s="4">
        <f>adm066051!R26+'gaas 04320'!R26+'Küte 043601'!R28+'küte 043602'!R26+'HV 052001'!R26+'HV 052003'!R26+'HV 052004'!R26+'JV 063001'!R26+'JV 063003'!R26+'JV 063004'!R26+'JV 063005'!R26+'JV 063006'!R26+'JV 063007'!R26+'El 064001'!R26+'EH 066011'!R26+MT066013!R26</f>
        <v>-46634</v>
      </c>
      <c r="S27" s="4">
        <f>adm066051!S26+'gaas 04320'!S26+'Küte 043601'!S28+'küte 043602'!S26+'HV 052001'!S26+'HV 052003'!S26+'HV 052004'!S26+'JV 063001'!S26+'JV 063003'!S26+'JV 063004'!S26+'JV 063005'!S26+'JV 063006'!S26+'JV 063007'!S26+'El 064001'!S26+'EH 066011'!S26+MT066013!S26</f>
        <v>-43302</v>
      </c>
      <c r="T27" s="4">
        <f>adm066051!T26+'gaas 04320'!T26+'Küte 043601'!T28+'küte 043602'!T26+'HV 052001'!T26+'HV 052003'!T26+'HV 052004'!T26+'JV 063001'!T26+'JV 063003'!T26+'JV 063004'!T26+'JV 063005'!T26+'JV 063006'!T26+'JV 063007'!T26+'El 064001'!T26+'EH 066011'!T26+MT066013!T26</f>
        <v>-42438</v>
      </c>
    </row>
    <row r="28" spans="1:20" ht="12.75">
      <c r="A28" s="6" t="s">
        <v>10</v>
      </c>
      <c r="B28" s="6" t="s">
        <v>10</v>
      </c>
      <c r="C28" s="6" t="s">
        <v>4</v>
      </c>
      <c r="D28" s="6" t="s">
        <v>4</v>
      </c>
      <c r="E28" s="6" t="s">
        <v>36</v>
      </c>
      <c r="F28" s="4">
        <f>adm066051!F27+'gaas 04320'!F27+'Küte 043601'!F29+'küte 043602'!F27+'HV 052001'!F27+'HV 052003'!F27+'HV 052004'!F27+'JV 063001'!F27+'JV 063003'!F27+'JV 063004'!F27+'JV 063005'!F27+'JV 063006'!F27+'JV 063007'!F27+'El 064001'!F27+'EH 066011'!F27+MT066013!F27</f>
        <v>-5413554.089999999</v>
      </c>
      <c r="G28" s="4">
        <f>adm066051!G27+'gaas 04320'!G27+'Küte 043601'!G29+'küte 043602'!G27+'HV 052001'!G27+'HV 052003'!G27+'HV 052004'!G27+'JV 063001'!G27+'JV 063003'!G27+'JV 063004'!G27+'JV 063005'!G27+'JV 063006'!G27+'JV 063007'!G27+'El 064001'!G27+'EH 066011'!G27+MT066013!G27</f>
        <v>-5092184.359999999</v>
      </c>
      <c r="H28" s="7">
        <f t="shared" si="0"/>
        <v>-5228911.91</v>
      </c>
      <c r="I28" s="40">
        <f>adm066051!I27+'gaas 04320'!I27+'Küte 043601'!I29+'küte 043602'!I27+'HV 052001'!I27+'HV 052003'!I27+'HV 052004'!I27+'JV 063001'!I27+'JV 063003'!I27+'JV 063004'!I27+'JV 063005'!I27+'JV 063006'!I27+'JV 063007'!I27+'El 064001'!I27+'EH 066011'!I27+MT066013!I27</f>
        <v>-643928.3699999999</v>
      </c>
      <c r="J28" s="40">
        <f>adm066051!J27+'gaas 04320'!J27+'Küte 043601'!J29+'küte 043602'!J27+'HV 052001'!J27+'HV 052003'!J27+'HV 052004'!J27+'JV 063001'!J27+'JV 063003'!J27+'JV 063004'!J27+'JV 063005'!J27+'JV 063006'!J27+'JV 063007'!J27+'El 064001'!J27+'EH 066011'!J27+MT066013!J27</f>
        <v>-572696.2699999999</v>
      </c>
      <c r="K28" s="40">
        <f>adm066051!K27+'gaas 04320'!K27+'Küte 043601'!K29+'küte 043602'!K27+'HV 052001'!K27+'HV 052003'!K27+'HV 052004'!K27+'JV 063001'!K27+'JV 063003'!K27+'JV 063004'!K27+'JV 063005'!K27+'JV 063006'!K27+'JV 063007'!K27+'El 064001'!K27+'EH 066011'!K27+MT066013!K27</f>
        <v>-564606.76</v>
      </c>
      <c r="L28" s="40">
        <f>adm066051!L27+'gaas 04320'!L27+'Küte 043601'!L29+'küte 043602'!L27+'HV 052001'!L27+'HV 052003'!L27+'HV 052004'!L27+'JV 063001'!L27+'JV 063003'!L27+'JV 063004'!L27+'JV 063005'!L27+'JV 063006'!L27+'JV 063007'!L27+'El 064001'!L27+'EH 066011'!L27+MT066013!L27</f>
        <v>-399104.88</v>
      </c>
      <c r="M28" s="40">
        <f>adm066051!M27+'gaas 04320'!M27+'Küte 043601'!M29+'küte 043602'!M27+'HV 052001'!M27+'HV 052003'!M27+'HV 052004'!M27+'JV 063001'!M27+'JV 063003'!M27+'JV 063004'!M27+'JV 063005'!M27+'JV 063006'!M27+'JV 063007'!M27+'El 064001'!M27+'EH 066011'!M27+MT066013!M27</f>
        <v>-334070.4799999999</v>
      </c>
      <c r="N28" s="4">
        <f>adm066051!N27+'gaas 04320'!N27+'Küte 043601'!N29+'küte 043602'!N27+'HV 052001'!N27+'HV 052003'!N27+'HV 052004'!N27+'JV 063001'!N27+'JV 063003'!N27+'JV 063004'!N27+'JV 063005'!N27+'JV 063006'!N27+'JV 063007'!N27+'El 064001'!N27+'EH 066011'!N27+MT066013!N27</f>
        <v>-240387.12000000002</v>
      </c>
      <c r="O28" s="4">
        <f>adm066051!O27+'gaas 04320'!O27+'Küte 043601'!O29+'küte 043602'!O27+'HV 052001'!O27+'HV 052003'!O27+'HV 052004'!O27+'JV 063001'!O27+'JV 063003'!O27+'JV 063004'!O27+'JV 063005'!O27+'JV 063006'!O27+'JV 063007'!O27+'El 064001'!O27+'EH 066011'!O27+MT066013!O27</f>
        <v>-226455.68000000002</v>
      </c>
      <c r="P28" s="4">
        <f>adm066051!P27+'gaas 04320'!P27+'Küte 043601'!P29+'küte 043602'!P27+'HV 052001'!P27+'HV 052003'!P27+'HV 052004'!P27+'JV 063001'!P27+'JV 063003'!P27+'JV 063004'!P27+'JV 063005'!P27+'JV 063006'!P27+'JV 063007'!P27+'El 064001'!P27+'EH 066011'!P27+MT066013!P27</f>
        <v>-246956.24000000002</v>
      </c>
      <c r="Q28" s="4">
        <f>adm066051!Q27+'gaas 04320'!Q27+'Küte 043601'!Q29+'küte 043602'!Q27+'HV 052001'!Q27+'HV 052003'!Q27+'HV 052004'!Q27+'JV 063001'!Q27+'JV 063003'!Q27+'JV 063004'!Q27+'JV 063005'!Q27+'JV 063006'!Q27+'JV 063007'!Q27+'El 064001'!Q27+'EH 066011'!Q27+MT066013!Q27</f>
        <v>-299152.7</v>
      </c>
      <c r="R28" s="4">
        <f>adm066051!R27+'gaas 04320'!R27+'Küte 043601'!R29+'küte 043602'!R27+'HV 052001'!R27+'HV 052003'!R27+'HV 052004'!R27+'JV 063001'!R27+'JV 063003'!R27+'JV 063004'!R27+'JV 063005'!R27+'JV 063006'!R27+'JV 063007'!R27+'El 064001'!R27+'EH 066011'!R27+MT066013!R27</f>
        <v>-524404.29</v>
      </c>
      <c r="S28" s="4">
        <f>adm066051!S27+'gaas 04320'!S27+'Küte 043601'!S29+'küte 043602'!S27+'HV 052001'!S27+'HV 052003'!S27+'HV 052004'!S27+'JV 063001'!S27+'JV 063003'!S27+'JV 063004'!S27+'JV 063005'!S27+'JV 063006'!S27+'JV 063007'!S27+'El 064001'!S27+'EH 066011'!S27+MT066013!S27</f>
        <v>-520629.68</v>
      </c>
      <c r="T28" s="4">
        <f>adm066051!T27+'gaas 04320'!T27+'Küte 043601'!T29+'küte 043602'!T27+'HV 052001'!T27+'HV 052003'!T27+'HV 052004'!T27+'JV 063001'!T27+'JV 063003'!T27+'JV 063004'!T27+'JV 063005'!T27+'JV 063006'!T27+'JV 063007'!T27+'El 064001'!T27+'EH 066011'!T27+MT066013!T27</f>
        <v>-656519.44</v>
      </c>
    </row>
    <row r="29" spans="1:20" ht="12.75">
      <c r="A29" s="12" t="s">
        <v>10</v>
      </c>
      <c r="B29" s="12" t="s">
        <v>10</v>
      </c>
      <c r="C29" s="12" t="s">
        <v>13</v>
      </c>
      <c r="D29" s="12" t="s">
        <v>13</v>
      </c>
      <c r="E29" s="12" t="s">
        <v>37</v>
      </c>
      <c r="F29" s="4">
        <f>adm066051!F28+'gaas 04320'!F28+'Küte 043601'!F30+'küte 043602'!F28+'HV 052001'!F28+'HV 052003'!F28+'HV 052004'!F28+'JV 063001'!F28+'JV 063003'!F28+'JV 063004'!F28+'JV 063005'!F28+'JV 063006'!F28+'JV 063007'!F28+'El 064001'!F28+'EH 066011'!F28+MT066013!F28</f>
        <v>-130143.19000000002</v>
      </c>
      <c r="G29" s="4">
        <f>adm066051!G28+'gaas 04320'!G28+'Küte 043601'!G30+'küte 043602'!G28+'HV 052001'!G28+'HV 052003'!G28+'HV 052004'!G28+'JV 063001'!G28+'JV 063003'!G28+'JV 063004'!G28+'JV 063005'!G28+'JV 063006'!G28+'JV 063007'!G28+'El 064001'!G28+'EH 066011'!G28+MT066013!G28</f>
        <v>-136740.67</v>
      </c>
      <c r="H29" s="10">
        <f t="shared" si="0"/>
        <v>-332771.38</v>
      </c>
      <c r="I29" s="38">
        <f>adm066051!I28+'gaas 04320'!I28+'Küte 043601'!I30+'küte 043602'!I28+'HV 052001'!I28+'HV 052003'!I28+'HV 052004'!I28+'JV 063001'!I28+'JV 063003'!I28+'JV 063004'!I28+'JV 063005'!I28+'JV 063006'!I28+'JV 063007'!I28+'El 064001'!I28+'EH 066011'!I28+MT066013!I28</f>
        <v>-12488.91</v>
      </c>
      <c r="J29" s="38">
        <f>adm066051!J28+'gaas 04320'!J28+'Küte 043601'!J30+'küte 043602'!J28+'HV 052001'!J28+'HV 052003'!J28+'HV 052004'!J28+'JV 063001'!J28+'JV 063003'!J28+'JV 063004'!J28+'JV 063005'!J28+'JV 063006'!J28+'JV 063007'!J28+'El 064001'!J28+'EH 066011'!J28+MT066013!J28</f>
        <v>-35534.98999999999</v>
      </c>
      <c r="K29" s="38">
        <f>adm066051!K28+'gaas 04320'!K28+'Küte 043601'!K30+'küte 043602'!K28+'HV 052001'!K28+'HV 052003'!K28+'HV 052004'!K28+'JV 063001'!K28+'JV 063003'!K28+'JV 063004'!K28+'JV 063005'!K28+'JV 063006'!K28+'JV 063007'!K28+'El 064001'!K28+'EH 066011'!K28+MT066013!K28</f>
        <v>-11547.66</v>
      </c>
      <c r="L29" s="38">
        <f>adm066051!L28+'gaas 04320'!L28+'Küte 043601'!L30+'küte 043602'!L28+'HV 052001'!L28+'HV 052003'!L28+'HV 052004'!L28+'JV 063001'!L28+'JV 063003'!L28+'JV 063004'!L28+'JV 063005'!L28+'JV 063006'!L28+'JV 063007'!L28+'El 064001'!L28+'EH 066011'!L28+MT066013!L28</f>
        <v>-10370.399999999996</v>
      </c>
      <c r="M29" s="38">
        <f>adm066051!M28+'gaas 04320'!M28+'Küte 043601'!M30+'küte 043602'!M28+'HV 052001'!M28+'HV 052003'!M28+'HV 052004'!M28+'JV 063001'!M28+'JV 063003'!M28+'JV 063004'!M28+'JV 063005'!M28+'JV 063006'!M28+'JV 063007'!M28+'El 064001'!M28+'EH 066011'!M28+MT066013!M28</f>
        <v>-7137.389999999999</v>
      </c>
      <c r="N29" s="13">
        <f>adm066051!N28+'gaas 04320'!N28+'Küte 043601'!N30+'küte 043602'!N28+'HV 052001'!N28+'HV 052003'!N28+'HV 052004'!N28+'JV 063001'!N28+'JV 063003'!N28+'JV 063004'!N28+'JV 063005'!N28+'JV 063006'!N28+'JV 063007'!N28+'El 064001'!N28+'EH 066011'!N28+MT066013!N28</f>
        <v>-6478.25</v>
      </c>
      <c r="O29" s="13">
        <f>adm066051!O28+'gaas 04320'!O28+'Küte 043601'!O30+'küte 043602'!O28+'HV 052001'!O28+'HV 052003'!O28+'HV 052004'!O28+'JV 063001'!O28+'JV 063003'!O28+'JV 063004'!O28+'JV 063005'!O28+'JV 063006'!O28+'JV 063007'!O28+'El 064001'!O28+'EH 066011'!O28+MT066013!O28</f>
        <v>-16490.159999999996</v>
      </c>
      <c r="P29" s="13">
        <f>adm066051!P28+'gaas 04320'!P28+'Küte 043601'!P30+'küte 043602'!P28+'HV 052001'!P28+'HV 052003'!P28+'HV 052004'!P28+'JV 063001'!P28+'JV 063003'!P28+'JV 063004'!P28+'JV 063005'!P28+'JV 063006'!P28+'JV 063007'!P28+'El 064001'!P28+'EH 066011'!P28+MT066013!P28</f>
        <v>-11261.18</v>
      </c>
      <c r="Q29" s="13">
        <f>adm066051!Q28+'gaas 04320'!Q28+'Küte 043601'!Q30+'küte 043602'!Q28+'HV 052001'!Q28+'HV 052003'!Q28+'HV 052004'!Q28+'JV 063001'!Q28+'JV 063003'!Q28+'JV 063004'!Q28+'JV 063005'!Q28+'JV 063006'!Q28+'JV 063007'!Q28+'El 064001'!Q28+'EH 066011'!Q28+MT066013!Q28</f>
        <v>-8058.160000000001</v>
      </c>
      <c r="R29" s="13">
        <f>adm066051!R28+'gaas 04320'!R28+'Küte 043601'!R30+'küte 043602'!R28+'HV 052001'!R28+'HV 052003'!R28+'HV 052004'!R28+'JV 063001'!R28+'JV 063003'!R28+'JV 063004'!R28+'JV 063005'!R28+'JV 063006'!R28+'JV 063007'!R28+'El 064001'!R28+'EH 066011'!R28+MT066013!R28</f>
        <v>-128753.31999999999</v>
      </c>
      <c r="S29" s="13">
        <f>adm066051!S28+'gaas 04320'!S28+'Küte 043601'!S30+'küte 043602'!S28+'HV 052001'!S28+'HV 052003'!S28+'HV 052004'!S28+'JV 063001'!S28+'JV 063003'!S28+'JV 063004'!S28+'JV 063005'!S28+'JV 063006'!S28+'JV 063007'!S28+'El 064001'!S28+'EH 066011'!S28+MT066013!S28</f>
        <v>-68934.95000000001</v>
      </c>
      <c r="T29" s="13">
        <f>adm066051!T28+'gaas 04320'!T28+'Küte 043601'!T30+'küte 043602'!T28+'HV 052001'!T28+'HV 052003'!T28+'HV 052004'!T28+'JV 063001'!T28+'JV 063003'!T28+'JV 063004'!T28+'JV 063005'!T28+'JV 063006'!T28+'JV 063007'!T28+'El 064001'!T28+'EH 066011'!T28+MT066013!T28</f>
        <v>-15716.01</v>
      </c>
    </row>
    <row r="30" spans="1:20" ht="12.75">
      <c r="A30" s="12" t="s">
        <v>10</v>
      </c>
      <c r="B30" s="12" t="s">
        <v>10</v>
      </c>
      <c r="C30" s="12" t="s">
        <v>13</v>
      </c>
      <c r="D30" s="12" t="s">
        <v>22</v>
      </c>
      <c r="E30" s="12" t="s">
        <v>103</v>
      </c>
      <c r="F30" s="4">
        <f>adm066051!F29+'gaas 04320'!F29+'Küte 043601'!F31+'küte 043602'!F29+'HV 052001'!F29+'HV 052003'!F29+'HV 052004'!F29+'JV 063001'!F29+'JV 063003'!F29+'JV 063004'!F29+'JV 063005'!F29+'JV 063006'!F29+'JV 063007'!F29+'El 064001'!F29+'EH 066011'!F29+MT066013!F29</f>
        <v>-24075.829999999998</v>
      </c>
      <c r="G30" s="4">
        <f>adm066051!G29+'gaas 04320'!G29+'Küte 043601'!G31+'küte 043602'!G29+'HV 052001'!G29+'HV 052003'!G29+'HV 052004'!G29+'JV 063001'!G29+'JV 063003'!G29+'JV 063004'!G29+'JV 063005'!G29+'JV 063006'!G29+'JV 063007'!G29+'El 064001'!G29+'EH 066011'!G29+MT066013!G29</f>
        <v>-15441.810000000001</v>
      </c>
      <c r="H30" s="10">
        <f t="shared" si="0"/>
        <v>-25300</v>
      </c>
      <c r="I30" s="38">
        <f>adm066051!I29+'gaas 04320'!I29+'Küte 043601'!I31+'küte 043602'!I29+'HV 052001'!I29+'HV 052003'!I29+'HV 052004'!I29+'JV 063001'!I29+'JV 063003'!I29+'JV 063004'!I29+'JV 063005'!I29+'JV 063006'!I29+'JV 063007'!I29+'El 064001'!I29+'EH 066011'!I29+MT066013!I29</f>
        <v>0</v>
      </c>
      <c r="J30" s="38">
        <f>adm066051!J29+'gaas 04320'!J29+'Küte 043601'!J31+'küte 043602'!J29+'HV 052001'!J29+'HV 052003'!J29+'HV 052004'!J29+'JV 063001'!J29+'JV 063003'!J29+'JV 063004'!J29+'JV 063005'!J29+'JV 063006'!J29+'JV 063007'!J29+'El 064001'!J29+'EH 066011'!J29+MT066013!J29</f>
        <v>0</v>
      </c>
      <c r="K30" s="38">
        <f>adm066051!K29+'gaas 04320'!K29+'Küte 043601'!K31+'küte 043602'!K29+'HV 052001'!K29+'HV 052003'!K29+'HV 052004'!K29+'JV 063001'!K29+'JV 063003'!K29+'JV 063004'!K29+'JV 063005'!K29+'JV 063006'!K29+'JV 063007'!K29+'El 064001'!K29+'EH 066011'!K29+MT066013!K29</f>
        <v>0</v>
      </c>
      <c r="L30" s="38">
        <f>adm066051!L29+'gaas 04320'!L29+'Küte 043601'!L31+'küte 043602'!L29+'HV 052001'!L29+'HV 052003'!L29+'HV 052004'!L29+'JV 063001'!L29+'JV 063003'!L29+'JV 063004'!L29+'JV 063005'!L29+'JV 063006'!L29+'JV 063007'!L29+'El 064001'!L29+'EH 066011'!L29+MT066013!L29</f>
        <v>0</v>
      </c>
      <c r="M30" s="38">
        <f>adm066051!M29+'gaas 04320'!M29+'Küte 043601'!M31+'küte 043602'!M29+'HV 052001'!M29+'HV 052003'!M29+'HV 052004'!M29+'JV 063001'!M29+'JV 063003'!M29+'JV 063004'!M29+'JV 063005'!M29+'JV 063006'!M29+'JV 063007'!M29+'El 064001'!M29+'EH 066011'!M29+MT066013!M29</f>
        <v>0</v>
      </c>
      <c r="N30" s="13">
        <f>adm066051!N29+'gaas 04320'!N29+'Küte 043601'!N31+'küte 043602'!N29+'HV 052001'!N29+'HV 052003'!N29+'HV 052004'!N29+'JV 063001'!N29+'JV 063003'!N29+'JV 063004'!N29+'JV 063005'!N29+'JV 063006'!N29+'JV 063007'!N29+'El 064001'!N29+'EH 066011'!N29+MT066013!N29</f>
        <v>0</v>
      </c>
      <c r="O30" s="13">
        <f>adm066051!O29+'gaas 04320'!O29+'Küte 043601'!O31+'küte 043602'!O29+'HV 052001'!O29+'HV 052003'!O29+'HV 052004'!O29+'JV 063001'!O29+'JV 063003'!O29+'JV 063004'!O29+'JV 063005'!O29+'JV 063006'!O29+'JV 063007'!O29+'El 064001'!O29+'EH 066011'!O29+MT066013!O29</f>
        <v>0</v>
      </c>
      <c r="P30" s="13">
        <f>adm066051!P29+'gaas 04320'!P29+'Küte 043601'!P31+'küte 043602'!P29+'HV 052001'!P29+'HV 052003'!P29+'HV 052004'!P29+'JV 063001'!P29+'JV 063003'!P29+'JV 063004'!P29+'JV 063005'!P29+'JV 063006'!P29+'JV 063007'!P29+'El 064001'!P29+'EH 066011'!P29+MT066013!P29</f>
        <v>0</v>
      </c>
      <c r="Q30" s="13">
        <f>adm066051!Q29+'gaas 04320'!Q29+'Küte 043601'!Q31+'küte 043602'!Q29+'HV 052001'!Q29+'HV 052003'!Q29+'HV 052004'!Q29+'JV 063001'!Q29+'JV 063003'!Q29+'JV 063004'!Q29+'JV 063005'!Q29+'JV 063006'!Q29+'JV 063007'!Q29+'El 064001'!Q29+'EH 066011'!Q29+MT066013!Q29</f>
        <v>-13150</v>
      </c>
      <c r="R30" s="13">
        <f>adm066051!R29+'gaas 04320'!R29+'Küte 043601'!R31+'küte 043602'!R29+'HV 052001'!R29+'HV 052003'!R29+'HV 052004'!R29+'JV 063001'!R29+'JV 063003'!R29+'JV 063004'!R29+'JV 063005'!R29+'JV 063006'!R29+'JV 063007'!R29+'El 064001'!R29+'EH 066011'!R29+MT066013!R29</f>
        <v>-12150</v>
      </c>
      <c r="S30" s="13">
        <f>adm066051!S29+'gaas 04320'!S29+'Küte 043601'!S31+'küte 043602'!S29+'HV 052001'!S29+'HV 052003'!S29+'HV 052004'!S29+'JV 063001'!S29+'JV 063003'!S29+'JV 063004'!S29+'JV 063005'!S29+'JV 063006'!S29+'JV 063007'!S29+'El 064001'!S29+'EH 066011'!S29+MT066013!S29</f>
        <v>0</v>
      </c>
      <c r="T30" s="13">
        <f>adm066051!T29+'gaas 04320'!T29+'Küte 043601'!T31+'küte 043602'!T29+'HV 052001'!T29+'HV 052003'!T29+'HV 052004'!T29+'JV 063001'!T29+'JV 063003'!T29+'JV 063004'!T29+'JV 063005'!T29+'JV 063006'!T29+'JV 063007'!T29+'El 064001'!T29+'EH 066011'!T29+MT066013!T29</f>
        <v>0</v>
      </c>
    </row>
    <row r="31" spans="1:20" ht="12.75">
      <c r="A31" s="12" t="s">
        <v>10</v>
      </c>
      <c r="B31" s="12" t="s">
        <v>10</v>
      </c>
      <c r="C31" s="12" t="s">
        <v>16</v>
      </c>
      <c r="D31" s="12" t="s">
        <v>16</v>
      </c>
      <c r="E31" s="12" t="s">
        <v>38</v>
      </c>
      <c r="F31" s="4">
        <f>adm066051!F30+'gaas 04320'!F30+'Küte 043601'!F32+'küte 043602'!F30+'HV 052001'!F30+'HV 052003'!F30+'HV 052004'!F30+'JV 063001'!F30+'JV 063003'!F30+'JV 063004'!F30+'JV 063005'!F30+'JV 063006'!F30+'JV 063007'!F30+'El 064001'!F30+'EH 066011'!F30+MT066013!F30</f>
        <v>-152301.96999999997</v>
      </c>
      <c r="G31" s="4">
        <f>adm066051!G30+'gaas 04320'!G30+'Küte 043601'!G32+'küte 043602'!G30+'HV 052001'!G30+'HV 052003'!G30+'HV 052004'!G30+'JV 063001'!G30+'JV 063003'!G30+'JV 063004'!G30+'JV 063005'!G30+'JV 063006'!G30+'JV 063007'!G30+'El 064001'!G30+'EH 066011'!G30+MT066013!G30</f>
        <v>-141830.16000000003</v>
      </c>
      <c r="H31" s="10">
        <f t="shared" si="0"/>
        <v>-102873.89</v>
      </c>
      <c r="I31" s="38">
        <f>adm066051!I30+'gaas 04320'!I30+'Küte 043601'!I32+'küte 043602'!I30+'HV 052001'!I30+'HV 052003'!I30+'HV 052004'!I30+'JV 063001'!I30+'JV 063003'!I30+'JV 063004'!I30+'JV 063005'!I30+'JV 063006'!I30+'JV 063007'!I30+'El 064001'!I30+'EH 066011'!I30+MT066013!I30</f>
        <v>-9299.93</v>
      </c>
      <c r="J31" s="38">
        <f>adm066051!J30+'gaas 04320'!J30+'Küte 043601'!J32+'küte 043602'!J30+'HV 052001'!J30+'HV 052003'!J30+'HV 052004'!J30+'JV 063001'!J30+'JV 063003'!J30+'JV 063004'!J30+'JV 063005'!J30+'JV 063006'!J30+'JV 063007'!J30+'El 064001'!J30+'EH 066011'!J30+MT066013!J30</f>
        <v>-7327.36</v>
      </c>
      <c r="K31" s="38">
        <f>adm066051!K30+'gaas 04320'!K30+'Küte 043601'!K32+'küte 043602'!K30+'HV 052001'!K30+'HV 052003'!K30+'HV 052004'!K30+'JV 063001'!K30+'JV 063003'!K30+'JV 063004'!K30+'JV 063005'!K30+'JV 063006'!K30+'JV 063007'!K30+'El 064001'!K30+'EH 066011'!K30+MT066013!K30</f>
        <v>-8644.55</v>
      </c>
      <c r="L31" s="38">
        <f>adm066051!L30+'gaas 04320'!L30+'Küte 043601'!L32+'küte 043602'!L30+'HV 052001'!L30+'HV 052003'!L30+'HV 052004'!L30+'JV 063001'!L30+'JV 063003'!L30+'JV 063004'!L30+'JV 063005'!L30+'JV 063006'!L30+'JV 063007'!L30+'El 064001'!L30+'EH 066011'!L30+MT066013!L30</f>
        <v>-6401.01</v>
      </c>
      <c r="M31" s="38">
        <f>adm066051!M30+'gaas 04320'!M30+'Küte 043601'!M32+'küte 043602'!M30+'HV 052001'!M30+'HV 052003'!M30+'HV 052004'!M30+'JV 063001'!M30+'JV 063003'!M30+'JV 063004'!M30+'JV 063005'!M30+'JV 063006'!M30+'JV 063007'!M30+'El 064001'!M30+'EH 066011'!M30+MT066013!M30</f>
        <v>-4916.05</v>
      </c>
      <c r="N31" s="13">
        <f>adm066051!N30+'gaas 04320'!N30+'Küte 043601'!N32+'küte 043602'!N30+'HV 052001'!N30+'HV 052003'!N30+'HV 052004'!N30+'JV 063001'!N30+'JV 063003'!N30+'JV 063004'!N30+'JV 063005'!N30+'JV 063006'!N30+'JV 063007'!N30+'El 064001'!N30+'EH 066011'!N30+MT066013!N30</f>
        <v>-6806.43</v>
      </c>
      <c r="O31" s="13">
        <f>adm066051!O30+'gaas 04320'!O30+'Küte 043601'!O32+'küte 043602'!O30+'HV 052001'!O30+'HV 052003'!O30+'HV 052004'!O30+'JV 063001'!O30+'JV 063003'!O30+'JV 063004'!O30+'JV 063005'!O30+'JV 063006'!O30+'JV 063007'!O30+'El 064001'!O30+'EH 066011'!O30+MT066013!O30</f>
        <v>-4036.3</v>
      </c>
      <c r="P31" s="13">
        <f>adm066051!P30+'gaas 04320'!P30+'Küte 043601'!P32+'küte 043602'!P30+'HV 052001'!P30+'HV 052003'!P30+'HV 052004'!P30+'JV 063001'!P30+'JV 063003'!P30+'JV 063004'!P30+'JV 063005'!P30+'JV 063006'!P30+'JV 063007'!P30+'El 064001'!P30+'EH 066011'!P30+MT066013!P30</f>
        <v>-22884.54</v>
      </c>
      <c r="Q31" s="13">
        <f>adm066051!Q30+'gaas 04320'!Q30+'Küte 043601'!Q32+'küte 043602'!Q30+'HV 052001'!Q30+'HV 052003'!Q30+'HV 052004'!Q30+'JV 063001'!Q30+'JV 063003'!Q30+'JV 063004'!Q30+'JV 063005'!Q30+'JV 063006'!Q30+'JV 063007'!Q30+'El 064001'!Q30+'EH 066011'!Q30+MT066013!Q30</f>
        <v>-14654.400000000001</v>
      </c>
      <c r="R31" s="13">
        <f>adm066051!R30+'gaas 04320'!R30+'Küte 043601'!R32+'küte 043602'!R30+'HV 052001'!R30+'HV 052003'!R30+'HV 052004'!R30+'JV 063001'!R30+'JV 063003'!R30+'JV 063004'!R30+'JV 063005'!R30+'JV 063006'!R30+'JV 063007'!R30+'El 064001'!R30+'EH 066011'!R30+MT066013!R30</f>
        <v>-5317.15</v>
      </c>
      <c r="S31" s="13">
        <f>adm066051!S30+'gaas 04320'!S30+'Küte 043601'!S32+'küte 043602'!S30+'HV 052001'!S30+'HV 052003'!S30+'HV 052004'!S30+'JV 063001'!S30+'JV 063003'!S30+'JV 063004'!S30+'JV 063005'!S30+'JV 063006'!S30+'JV 063007'!S30+'El 064001'!S30+'EH 066011'!S30+MT066013!S30</f>
        <v>-5050.4800000000005</v>
      </c>
      <c r="T31" s="13">
        <f>adm066051!T30+'gaas 04320'!T30+'Küte 043601'!T32+'küte 043602'!T30+'HV 052001'!T30+'HV 052003'!T30+'HV 052004'!T30+'JV 063001'!T30+'JV 063003'!T30+'JV 063004'!T30+'JV 063005'!T30+'JV 063006'!T30+'JV 063007'!T30+'El 064001'!T30+'EH 066011'!T30+MT066013!T30</f>
        <v>-7535.69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6</v>
      </c>
      <c r="E32" s="12" t="s">
        <v>39</v>
      </c>
      <c r="F32" s="4">
        <f>adm066051!F31+'gaas 04320'!F31+'Küte 043601'!F33+'küte 043602'!F31+'HV 052001'!F31+'HV 052003'!F31+'HV 052004'!F31+'JV 063001'!F31+'JV 063003'!F31+'JV 063004'!F31+'JV 063005'!F31+'JV 063006'!F31+'JV 063007'!F31+'El 064001'!F31+'EH 066011'!F31+MT066013!F31</f>
        <v>-710665.87</v>
      </c>
      <c r="G32" s="4">
        <f>adm066051!G31+'gaas 04320'!G31+'Küte 043601'!G33+'küte 043602'!G31+'HV 052001'!G31+'HV 052003'!G31+'HV 052004'!G31+'JV 063001'!G31+'JV 063003'!G31+'JV 063004'!G31+'JV 063005'!G31+'JV 063006'!G31+'JV 063007'!G31+'El 064001'!G31+'EH 066011'!G31+MT066013!G31</f>
        <v>-931859.1</v>
      </c>
      <c r="H32" s="10">
        <f t="shared" si="0"/>
        <v>-1116748.98</v>
      </c>
      <c r="I32" s="38">
        <f>adm066051!I31+'gaas 04320'!I31+'Küte 043601'!I33+'küte 043602'!I31+'HV 052001'!I31+'HV 052003'!I31+'HV 052004'!I31+'JV 063001'!I31+'JV 063003'!I31+'JV 063004'!I31+'JV 063005'!I31+'JV 063006'!I31+'JV 063007'!I31+'El 064001'!I31+'EH 066011'!I31+MT066013!I31</f>
        <v>-102389.63</v>
      </c>
      <c r="J32" s="38">
        <f>adm066051!J31+'gaas 04320'!J31+'Küte 043601'!J33+'küte 043602'!J31+'HV 052001'!J31+'HV 052003'!J31+'HV 052004'!J31+'JV 063001'!J31+'JV 063003'!J31+'JV 063004'!J31+'JV 063005'!J31+'JV 063006'!J31+'JV 063007'!J31+'El 064001'!J31+'EH 066011'!J31+MT066013!J31</f>
        <v>-108462.15</v>
      </c>
      <c r="K32" s="38">
        <f>adm066051!K31+'gaas 04320'!K31+'Küte 043601'!K33+'küte 043602'!K31+'HV 052001'!K31+'HV 052003'!K31+'HV 052004'!K31+'JV 063001'!K31+'JV 063003'!K31+'JV 063004'!K31+'JV 063005'!K31+'JV 063006'!K31+'JV 063007'!K31+'El 064001'!K31+'EH 066011'!K31+MT066013!K31</f>
        <v>-126113.15000000001</v>
      </c>
      <c r="L32" s="38">
        <f>adm066051!L31+'gaas 04320'!L31+'Küte 043601'!L33+'küte 043602'!L31+'HV 052001'!L31+'HV 052003'!L31+'HV 052004'!L31+'JV 063001'!L31+'JV 063003'!L31+'JV 063004'!L31+'JV 063005'!L31+'JV 063006'!L31+'JV 063007'!L31+'El 064001'!L31+'EH 066011'!L31+MT066013!L31</f>
        <v>-105456.59000000001</v>
      </c>
      <c r="M32" s="38">
        <f>adm066051!M31+'gaas 04320'!M31+'Küte 043601'!M33+'küte 043602'!M31+'HV 052001'!M31+'HV 052003'!M31+'HV 052004'!M31+'JV 063001'!M31+'JV 063003'!M31+'JV 063004'!M31+'JV 063005'!M31+'JV 063006'!M31+'JV 063007'!M31+'El 064001'!M31+'EH 066011'!M31+MT066013!M31</f>
        <v>-66163.07</v>
      </c>
      <c r="N32" s="13">
        <f>adm066051!N31+'gaas 04320'!N31+'Küte 043601'!N33+'küte 043602'!N31+'HV 052001'!N31+'HV 052003'!N31+'HV 052004'!N31+'JV 063001'!N31+'JV 063003'!N31+'JV 063004'!N31+'JV 063005'!N31+'JV 063006'!N31+'JV 063007'!N31+'El 064001'!N31+'EH 066011'!N31+MT066013!N31</f>
        <v>-75192.6</v>
      </c>
      <c r="O32" s="13">
        <f>adm066051!O31+'gaas 04320'!O31+'Küte 043601'!O33+'küte 043602'!O31+'HV 052001'!O31+'HV 052003'!O31+'HV 052004'!O31+'JV 063001'!O31+'JV 063003'!O31+'JV 063004'!O31+'JV 063005'!O31+'JV 063006'!O31+'JV 063007'!O31+'El 064001'!O31+'EH 066011'!O31+MT066013!O31</f>
        <v>-90109.34999999999</v>
      </c>
      <c r="P32" s="13">
        <f>adm066051!P31+'gaas 04320'!P31+'Küte 043601'!P33+'küte 043602'!P31+'HV 052001'!P31+'HV 052003'!P31+'HV 052004'!P31+'JV 063001'!P31+'JV 063003'!P31+'JV 063004'!P31+'JV 063005'!P31+'JV 063006'!P31+'JV 063007'!P31+'El 064001'!P31+'EH 066011'!P31+MT066013!P31</f>
        <v>-69172.97</v>
      </c>
      <c r="Q32" s="13">
        <f>adm066051!Q31+'gaas 04320'!Q31+'Küte 043601'!Q33+'küte 043602'!Q31+'HV 052001'!Q31+'HV 052003'!Q31+'HV 052004'!Q31+'JV 063001'!Q31+'JV 063003'!Q31+'JV 063004'!Q31+'JV 063005'!Q31+'JV 063006'!Q31+'JV 063007'!Q31+'El 064001'!Q31+'EH 066011'!Q31+MT066013!Q31</f>
        <v>-90536.23</v>
      </c>
      <c r="R32" s="13">
        <f>adm066051!R31+'gaas 04320'!R31+'Küte 043601'!R33+'küte 043602'!R31+'HV 052001'!R31+'HV 052003'!R31+'HV 052004'!R31+'JV 063001'!R31+'JV 063003'!R31+'JV 063004'!R31+'JV 063005'!R31+'JV 063006'!R31+'JV 063007'!R31+'El 064001'!R31+'EH 066011'!R31+MT066013!R31</f>
        <v>-92723.34</v>
      </c>
      <c r="S32" s="13">
        <f>adm066051!S31+'gaas 04320'!S31+'Küte 043601'!S33+'küte 043602'!S31+'HV 052001'!S31+'HV 052003'!S31+'HV 052004'!S31+'JV 063001'!S31+'JV 063003'!S31+'JV 063004'!S31+'JV 063005'!S31+'JV 063006'!S31+'JV 063007'!S31+'El 064001'!S31+'EH 066011'!S31+MT066013!S31</f>
        <v>-77022.16</v>
      </c>
      <c r="T32" s="13">
        <f>adm066051!T31+'gaas 04320'!T31+'Küte 043601'!T33+'küte 043602'!T31+'HV 052001'!T31+'HV 052003'!T31+'HV 052004'!T31+'JV 063001'!T31+'JV 063003'!T31+'JV 063004'!T31+'JV 063005'!T31+'JV 063006'!T31+'JV 063007'!T31+'El 064001'!T31+'EH 066011'!T31+MT066013!T31</f>
        <v>-113407.74</v>
      </c>
    </row>
    <row r="33" spans="1:20" ht="12.75">
      <c r="A33" s="12" t="s">
        <v>10</v>
      </c>
      <c r="B33" s="12" t="s">
        <v>10</v>
      </c>
      <c r="C33" s="12" t="s">
        <v>16</v>
      </c>
      <c r="D33" s="12" t="s">
        <v>3</v>
      </c>
      <c r="E33" s="12" t="s">
        <v>40</v>
      </c>
      <c r="F33" s="4">
        <f>adm066051!F32+'gaas 04320'!F32+'Küte 043601'!F34+'küte 043602'!F32+'HV 052001'!F32+'HV 052003'!F32+'HV 052004'!F32+'JV 063001'!F32+'JV 063003'!F32+'JV 063004'!F32+'JV 063005'!F32+'JV 063006'!F32+'JV 063007'!F32+'El 064001'!F32+'EH 066011'!F32+MT066013!F32</f>
        <v>-363897.76999999996</v>
      </c>
      <c r="G33" s="4">
        <f>adm066051!G32+'gaas 04320'!G32+'Küte 043601'!G34+'küte 043602'!G32+'HV 052001'!G32+'HV 052003'!G32+'HV 052004'!G32+'JV 063001'!G32+'JV 063003'!G32+'JV 063004'!G32+'JV 063005'!G32+'JV 063006'!G32+'JV 063007'!G32+'El 064001'!G32+'EH 066011'!G32+MT066013!G32</f>
        <v>-361724.85</v>
      </c>
      <c r="H33" s="10">
        <f t="shared" si="0"/>
        <v>-296465.08999999997</v>
      </c>
      <c r="I33" s="38">
        <f>adm066051!I32+'gaas 04320'!I32+'Küte 043601'!I34+'küte 043602'!I32+'HV 052001'!I32+'HV 052003'!I32+'HV 052004'!I32+'JV 063001'!I32+'JV 063003'!I32+'JV 063004'!I32+'JV 063005'!I32+'JV 063006'!I32+'JV 063007'!I32+'El 064001'!I32+'EH 066011'!I32+MT066013!I32</f>
        <v>-26485.229999999996</v>
      </c>
      <c r="J33" s="38">
        <f>adm066051!J32+'gaas 04320'!J32+'Küte 043601'!J34+'küte 043602'!J32+'HV 052001'!J32+'HV 052003'!J32+'HV 052004'!J32+'JV 063001'!J32+'JV 063003'!J32+'JV 063004'!J32+'JV 063005'!J32+'JV 063006'!J32+'JV 063007'!J32+'El 064001'!J32+'EH 066011'!J32+MT066013!J32</f>
        <v>-23111.65</v>
      </c>
      <c r="K33" s="38">
        <f>adm066051!K32+'gaas 04320'!K32+'Küte 043601'!K34+'küte 043602'!K32+'HV 052001'!K32+'HV 052003'!K32+'HV 052004'!K32+'JV 063001'!K32+'JV 063003'!K32+'JV 063004'!K32+'JV 063005'!K32+'JV 063006'!K32+'JV 063007'!K32+'El 064001'!K32+'EH 066011'!K32+MT066013!K32</f>
        <v>-25485.490000000005</v>
      </c>
      <c r="L33" s="38">
        <f>adm066051!L32+'gaas 04320'!L32+'Küte 043601'!L34+'küte 043602'!L32+'HV 052001'!L32+'HV 052003'!L32+'HV 052004'!L32+'JV 063001'!L32+'JV 063003'!L32+'JV 063004'!L32+'JV 063005'!L32+'JV 063006'!L32+'JV 063007'!L32+'El 064001'!L32+'EH 066011'!L32+MT066013!L32</f>
        <v>-26200.499999999996</v>
      </c>
      <c r="M33" s="38">
        <f>adm066051!M32+'gaas 04320'!M32+'Küte 043601'!M34+'küte 043602'!M32+'HV 052001'!M32+'HV 052003'!M32+'HV 052004'!M32+'JV 063001'!M32+'JV 063003'!M32+'JV 063004'!M32+'JV 063005'!M32+'JV 063006'!M32+'JV 063007'!M32+'El 064001'!M32+'EH 066011'!M32+MT066013!M32</f>
        <v>-32894.92</v>
      </c>
      <c r="N33" s="13">
        <f>adm066051!N32+'gaas 04320'!N32+'Küte 043601'!N34+'küte 043602'!N32+'HV 052001'!N32+'HV 052003'!N32+'HV 052004'!N32+'JV 063001'!N32+'JV 063003'!N32+'JV 063004'!N32+'JV 063005'!N32+'JV 063006'!N32+'JV 063007'!N32+'El 064001'!N32+'EH 066011'!N32+MT066013!N32</f>
        <v>-23207.940000000002</v>
      </c>
      <c r="O33" s="13">
        <f>adm066051!O32+'gaas 04320'!O32+'Küte 043601'!O34+'küte 043602'!O32+'HV 052001'!O32+'HV 052003'!O32+'HV 052004'!O32+'JV 063001'!O32+'JV 063003'!O32+'JV 063004'!O32+'JV 063005'!O32+'JV 063006'!O32+'JV 063007'!O32+'El 064001'!O32+'EH 066011'!O32+MT066013!O32</f>
        <v>-12951.66</v>
      </c>
      <c r="P33" s="13">
        <f>adm066051!P32+'gaas 04320'!P32+'Küte 043601'!P34+'küte 043602'!P32+'HV 052001'!P32+'HV 052003'!P32+'HV 052004'!P32+'JV 063001'!P32+'JV 063003'!P32+'JV 063004'!P32+'JV 063005'!P32+'JV 063006'!P32+'JV 063007'!P32+'El 064001'!P32+'EH 066011'!P32+MT066013!P32</f>
        <v>-24004.05</v>
      </c>
      <c r="Q33" s="13">
        <f>adm066051!Q32+'gaas 04320'!Q32+'Küte 043601'!Q34+'küte 043602'!Q32+'HV 052001'!Q32+'HV 052003'!Q32+'HV 052004'!Q32+'JV 063001'!Q32+'JV 063003'!Q32+'JV 063004'!Q32+'JV 063005'!Q32+'JV 063006'!Q32+'JV 063007'!Q32+'El 064001'!Q32+'EH 066011'!Q32+MT066013!Q32</f>
        <v>-28777.94</v>
      </c>
      <c r="R33" s="13">
        <f>adm066051!R32+'gaas 04320'!R32+'Küte 043601'!R34+'küte 043602'!R32+'HV 052001'!R32+'HV 052003'!R32+'HV 052004'!R32+'JV 063001'!R32+'JV 063003'!R32+'JV 063004'!R32+'JV 063005'!R32+'JV 063006'!R32+'JV 063007'!R32+'El 064001'!R32+'EH 066011'!R32+MT066013!R32</f>
        <v>-27127.049999999996</v>
      </c>
      <c r="S33" s="13">
        <f>adm066051!S32+'gaas 04320'!S32+'Küte 043601'!S34+'küte 043602'!S32+'HV 052001'!S32+'HV 052003'!S32+'HV 052004'!S32+'JV 063001'!S32+'JV 063003'!S32+'JV 063004'!S32+'JV 063005'!S32+'JV 063006'!S32+'JV 063007'!S32+'El 064001'!S32+'EH 066011'!S32+MT066013!S32</f>
        <v>-22376.87</v>
      </c>
      <c r="T33" s="13">
        <f>adm066051!T32+'gaas 04320'!T32+'Küte 043601'!T34+'küte 043602'!T32+'HV 052001'!T32+'HV 052003'!T32+'HV 052004'!T32+'JV 063001'!T32+'JV 063003'!T32+'JV 063004'!T32+'JV 063005'!T32+'JV 063006'!T32+'JV 063007'!T32+'El 064001'!T32+'EH 066011'!T32+MT066013!T32</f>
        <v>-23841.79</v>
      </c>
    </row>
    <row r="34" spans="1:20" ht="12.75">
      <c r="A34" s="12" t="s">
        <v>10</v>
      </c>
      <c r="B34" s="12" t="s">
        <v>10</v>
      </c>
      <c r="C34" s="12" t="s">
        <v>16</v>
      </c>
      <c r="D34" s="12" t="s">
        <v>22</v>
      </c>
      <c r="E34" s="12" t="s">
        <v>41</v>
      </c>
      <c r="F34" s="4">
        <f>adm066051!F33+'gaas 04320'!F33+'Küte 043601'!F35+'küte 043602'!F33+'HV 052001'!F33+'HV 052003'!F33+'HV 052004'!F33+'JV 063001'!F33+'JV 063003'!F33+'JV 063004'!F33+'JV 063005'!F33+'JV 063006'!F33+'JV 063007'!F33+'El 064001'!F33+'EH 066011'!F33+MT066013!F33</f>
        <v>-42864.11</v>
      </c>
      <c r="G34" s="4">
        <f>adm066051!G33+'gaas 04320'!G33+'Küte 043601'!G35+'küte 043602'!G33+'HV 052001'!G33+'HV 052003'!G33+'HV 052004'!G33+'JV 063001'!G33+'JV 063003'!G33+'JV 063004'!G33+'JV 063005'!G33+'JV 063006'!G33+'JV 063007'!G33+'El 064001'!G33+'EH 066011'!G33+MT066013!G33</f>
        <v>-16673.78</v>
      </c>
      <c r="H34" s="10">
        <f t="shared" si="0"/>
        <v>-45902.219999999994</v>
      </c>
      <c r="I34" s="38">
        <f>adm066051!I33+'gaas 04320'!I33+'Küte 043601'!I35+'küte 043602'!I33+'HV 052001'!I33+'HV 052003'!I33+'HV 052004'!I33+'JV 063001'!I33+'JV 063003'!I33+'JV 063004'!I33+'JV 063005'!I33+'JV 063006'!I33+'JV 063007'!I33+'El 064001'!I33+'EH 066011'!I33+MT066013!I33</f>
        <v>0</v>
      </c>
      <c r="J34" s="38">
        <f>adm066051!J33+'gaas 04320'!J33+'Küte 043601'!J35+'küte 043602'!J33+'HV 052001'!J33+'HV 052003'!J33+'HV 052004'!J33+'JV 063001'!J33+'JV 063003'!J33+'JV 063004'!J33+'JV 063005'!J33+'JV 063006'!J33+'JV 063007'!J33+'El 064001'!J33+'EH 066011'!J33+MT066013!J33</f>
        <v>-925.41</v>
      </c>
      <c r="K34" s="38">
        <f>adm066051!K33+'gaas 04320'!K33+'Küte 043601'!K35+'küte 043602'!K33+'HV 052001'!K33+'HV 052003'!K33+'HV 052004'!K33+'JV 063001'!K33+'JV 063003'!K33+'JV 063004'!K33+'JV 063005'!K33+'JV 063006'!K33+'JV 063007'!K33+'El 064001'!K33+'EH 066011'!K33+MT066013!K33</f>
        <v>-6353.6</v>
      </c>
      <c r="L34" s="38">
        <f>adm066051!L33+'gaas 04320'!L33+'Küte 043601'!L35+'küte 043602'!L33+'HV 052001'!L33+'HV 052003'!L33+'HV 052004'!L33+'JV 063001'!L33+'JV 063003'!L33+'JV 063004'!L33+'JV 063005'!L33+'JV 063006'!L33+'JV 063007'!L33+'El 064001'!L33+'EH 066011'!L33+MT066013!L33</f>
        <v>-308.33</v>
      </c>
      <c r="M34" s="38">
        <f>adm066051!M33+'gaas 04320'!M33+'Küte 043601'!M35+'küte 043602'!M33+'HV 052001'!M33+'HV 052003'!M33+'HV 052004'!M33+'JV 063001'!M33+'JV 063003'!M33+'JV 063004'!M33+'JV 063005'!M33+'JV 063006'!M33+'JV 063007'!M33+'El 064001'!M33+'EH 066011'!M33+MT066013!M33</f>
        <v>-10858.33</v>
      </c>
      <c r="N34" s="13">
        <f>adm066051!N33+'gaas 04320'!N33+'Küte 043601'!N35+'küte 043602'!N33+'HV 052001'!N33+'HV 052003'!N33+'HV 052004'!N33+'JV 063001'!N33+'JV 063003'!N33+'JV 063004'!N33+'JV 063005'!N33+'JV 063006'!N33+'JV 063007'!N33+'El 064001'!N33+'EH 066011'!N33+MT066013!N33</f>
        <v>-3688.35</v>
      </c>
      <c r="O34" s="13">
        <f>adm066051!O33+'gaas 04320'!O33+'Küte 043601'!O35+'küte 043602'!O33+'HV 052001'!O33+'HV 052003'!O33+'HV 052004'!O33+'JV 063001'!O33+'JV 063003'!O33+'JV 063004'!O33+'JV 063005'!O33+'JV 063006'!O33+'JV 063007'!O33+'El 064001'!O33+'EH 066011'!O33+MT066013!O33</f>
        <v>0</v>
      </c>
      <c r="P34" s="13">
        <f>adm066051!P33+'gaas 04320'!P33+'Küte 043601'!P35+'küte 043602'!P33+'HV 052001'!P33+'HV 052003'!P33+'HV 052004'!P33+'JV 063001'!P33+'JV 063003'!P33+'JV 063004'!P33+'JV 063005'!P33+'JV 063006'!P33+'JV 063007'!P33+'El 064001'!P33+'EH 066011'!P33+MT066013!P33</f>
        <v>-15703.17</v>
      </c>
      <c r="Q34" s="13">
        <f>adm066051!Q33+'gaas 04320'!Q33+'Küte 043601'!Q35+'küte 043602'!Q33+'HV 052001'!Q33+'HV 052003'!Q33+'HV 052004'!Q33+'JV 063001'!Q33+'JV 063003'!Q33+'JV 063004'!Q33+'JV 063005'!Q33+'JV 063006'!Q33+'JV 063007'!Q33+'El 064001'!Q33+'EH 066011'!Q33+MT066013!Q33</f>
        <v>-3688.35</v>
      </c>
      <c r="R34" s="13">
        <f>adm066051!R33+'gaas 04320'!R33+'Küte 043601'!R35+'küte 043602'!R33+'HV 052001'!R33+'HV 052003'!R33+'HV 052004'!R33+'JV 063001'!R33+'JV 063003'!R33+'JV 063004'!R33+'JV 063005'!R33+'JV 063006'!R33+'JV 063007'!R33+'El 064001'!R33+'EH 066011'!R33+MT066013!R33</f>
        <v>0</v>
      </c>
      <c r="S34" s="13">
        <f>adm066051!S33+'gaas 04320'!S33+'Küte 043601'!S35+'küte 043602'!S33+'HV 052001'!S33+'HV 052003'!S33+'HV 052004'!S33+'JV 063001'!S33+'JV 063003'!S33+'JV 063004'!S33+'JV 063005'!S33+'JV 063006'!S33+'JV 063007'!S33+'El 064001'!S33+'EH 066011'!S33+MT066013!S33</f>
        <v>0</v>
      </c>
      <c r="T34" s="13">
        <f>adm066051!T33+'gaas 04320'!T33+'Küte 043601'!T35+'küte 043602'!T33+'HV 052001'!T33+'HV 052003'!T33+'HV 052004'!T33+'JV 063001'!T33+'JV 063003'!T33+'JV 063004'!T33+'JV 063005'!T33+'JV 063006'!T33+'JV 063007'!T33+'El 064001'!T33+'EH 066011'!T33+MT066013!T33</f>
        <v>-4376.68</v>
      </c>
    </row>
    <row r="35" spans="1:20" ht="12.75">
      <c r="A35" s="12" t="s">
        <v>10</v>
      </c>
      <c r="B35" s="12" t="s">
        <v>10</v>
      </c>
      <c r="C35" s="12" t="s">
        <v>16</v>
      </c>
      <c r="D35" s="12" t="s">
        <v>10</v>
      </c>
      <c r="E35" s="12" t="s">
        <v>42</v>
      </c>
      <c r="F35" s="4">
        <f>adm066051!F34+'gaas 04320'!F34+'Küte 043601'!F36+'küte 043602'!F34+'HV 052001'!F34+'HV 052003'!F34+'HV 052004'!F34+'JV 063001'!F34+'JV 063003'!F34+'JV 063004'!F34+'JV 063005'!F34+'JV 063006'!F34+'JV 063007'!F34+'El 064001'!F34+'EH 066011'!F34+MT066013!F34</f>
        <v>-57918.810000000005</v>
      </c>
      <c r="G35" s="4">
        <f>adm066051!G34+'gaas 04320'!G34+'Küte 043601'!G36+'küte 043602'!G34+'HV 052001'!G34+'HV 052003'!G34+'HV 052004'!G34+'JV 063001'!G34+'JV 063003'!G34+'JV 063004'!G34+'JV 063005'!G34+'JV 063006'!G34+'JV 063007'!G34+'El 064001'!G34+'EH 066011'!G34+MT066013!G34</f>
        <v>-76479.14</v>
      </c>
      <c r="H35" s="10">
        <f t="shared" si="0"/>
        <v>-39055.44</v>
      </c>
      <c r="I35" s="38">
        <f>adm066051!I34+'gaas 04320'!I34+'Küte 043601'!I36+'küte 043602'!I34+'HV 052001'!I34+'HV 052003'!I34+'HV 052004'!I34+'JV 063001'!I34+'JV 063003'!I34+'JV 063004'!I34+'JV 063005'!I34+'JV 063006'!I34+'JV 063007'!I34+'El 064001'!I34+'EH 066011'!I34+MT066013!I34</f>
        <v>-8527.02</v>
      </c>
      <c r="J35" s="38">
        <f>adm066051!J34+'gaas 04320'!J34+'Küte 043601'!J36+'küte 043602'!J34+'HV 052001'!J34+'HV 052003'!J34+'HV 052004'!J34+'JV 063001'!J34+'JV 063003'!J34+'JV 063004'!J34+'JV 063005'!J34+'JV 063006'!J34+'JV 063007'!J34+'El 064001'!J34+'EH 066011'!J34+MT066013!J34</f>
        <v>-14444.17</v>
      </c>
      <c r="K35" s="38">
        <f>adm066051!K34+'gaas 04320'!K34+'Küte 043601'!K36+'küte 043602'!K34+'HV 052001'!K34+'HV 052003'!K34+'HV 052004'!K34+'JV 063001'!K34+'JV 063003'!K34+'JV 063004'!K34+'JV 063005'!K34+'JV 063006'!K34+'JV 063007'!K34+'El 064001'!K34+'EH 066011'!K34+MT066013!K34</f>
        <v>-6998.33</v>
      </c>
      <c r="L35" s="38">
        <f>adm066051!L34+'gaas 04320'!L34+'Küte 043601'!L36+'küte 043602'!L34+'HV 052001'!L34+'HV 052003'!L34+'HV 052004'!L34+'JV 063001'!L34+'JV 063003'!L34+'JV 063004'!L34+'JV 063005'!L34+'JV 063006'!L34+'JV 063007'!L34+'El 064001'!L34+'EH 066011'!L34+MT066013!L34</f>
        <v>0</v>
      </c>
      <c r="M35" s="38">
        <f>adm066051!M34+'gaas 04320'!M34+'Küte 043601'!M36+'küte 043602'!M34+'HV 052001'!M34+'HV 052003'!M34+'HV 052004'!M34+'JV 063001'!M34+'JV 063003'!M34+'JV 063004'!M34+'JV 063005'!M34+'JV 063006'!M34+'JV 063007'!M34+'El 064001'!M34+'EH 066011'!M34+MT066013!M34</f>
        <v>-416.67</v>
      </c>
      <c r="N35" s="13">
        <f>adm066051!N34+'gaas 04320'!N34+'Küte 043601'!N36+'küte 043602'!N34+'HV 052001'!N34+'HV 052003'!N34+'HV 052004'!N34+'JV 063001'!N34+'JV 063003'!N34+'JV 063004'!N34+'JV 063005'!N34+'JV 063006'!N34+'JV 063007'!N34+'El 064001'!N34+'EH 066011'!N34+MT066013!N34</f>
        <v>0</v>
      </c>
      <c r="O35" s="13">
        <f>adm066051!O34+'gaas 04320'!O34+'Küte 043601'!O36+'küte 043602'!O34+'HV 052001'!O34+'HV 052003'!O34+'HV 052004'!O34+'JV 063001'!O34+'JV 063003'!O34+'JV 063004'!O34+'JV 063005'!O34+'JV 063006'!O34+'JV 063007'!O34+'El 064001'!O34+'EH 066011'!O34+MT066013!O34</f>
        <v>-2715.83</v>
      </c>
      <c r="P35" s="13">
        <f>adm066051!P34+'gaas 04320'!P34+'Küte 043601'!P36+'küte 043602'!P34+'HV 052001'!P34+'HV 052003'!P34+'HV 052004'!P34+'JV 063001'!P34+'JV 063003'!P34+'JV 063004'!P34+'JV 063005'!P34+'JV 063006'!P34+'JV 063007'!P34+'El 064001'!P34+'EH 066011'!P34+MT066013!P34</f>
        <v>0</v>
      </c>
      <c r="Q35" s="13">
        <f>adm066051!Q34+'gaas 04320'!Q34+'Küte 043601'!Q36+'küte 043602'!Q34+'HV 052001'!Q34+'HV 052003'!Q34+'HV 052004'!Q34+'JV 063001'!Q34+'JV 063003'!Q34+'JV 063004'!Q34+'JV 063005'!Q34+'JV 063006'!Q34+'JV 063007'!Q34+'El 064001'!Q34+'EH 066011'!Q34+MT066013!Q34</f>
        <v>-1245</v>
      </c>
      <c r="R35" s="13">
        <f>adm066051!R34+'gaas 04320'!R34+'Küte 043601'!R36+'küte 043602'!R34+'HV 052001'!R34+'HV 052003'!R34+'HV 052004'!R34+'JV 063001'!R34+'JV 063003'!R34+'JV 063004'!R34+'JV 063005'!R34+'JV 063006'!R34+'JV 063007'!R34+'El 064001'!R34+'EH 066011'!R34+MT066013!R34</f>
        <v>-340.09000000000003</v>
      </c>
      <c r="S35" s="13">
        <f>adm066051!S34+'gaas 04320'!S34+'Küte 043601'!S36+'küte 043602'!S34+'HV 052001'!S34+'HV 052003'!S34+'HV 052004'!S34+'JV 063001'!S34+'JV 063003'!S34+'JV 063004'!S34+'JV 063005'!S34+'JV 063006'!S34+'JV 063007'!S34+'El 064001'!S34+'EH 066011'!S34+MT066013!S34</f>
        <v>-170.83</v>
      </c>
      <c r="T35" s="13">
        <f>adm066051!T34+'gaas 04320'!T34+'Küte 043601'!T36+'küte 043602'!T34+'HV 052001'!T34+'HV 052003'!T34+'HV 052004'!T34+'JV 063001'!T34+'JV 063003'!T34+'JV 063004'!T34+'JV 063005'!T34+'JV 063006'!T34+'JV 063007'!T34+'El 064001'!T34+'EH 066011'!T34+MT066013!T34</f>
        <v>-4197.5</v>
      </c>
    </row>
    <row r="36" spans="1:20" ht="12.75">
      <c r="A36" s="12" t="s">
        <v>10</v>
      </c>
      <c r="B36" s="12" t="s">
        <v>10</v>
      </c>
      <c r="C36" s="12" t="s">
        <v>16</v>
      </c>
      <c r="D36" s="12" t="s">
        <v>34</v>
      </c>
      <c r="E36" s="12" t="s">
        <v>43</v>
      </c>
      <c r="F36" s="4">
        <f>adm066051!F35+'gaas 04320'!F35+'Küte 043601'!F37+'küte 043602'!F35+'HV 052001'!F35+'HV 052003'!F35+'HV 052004'!F35+'JV 063001'!F35+'JV 063003'!F35+'JV 063004'!F35+'JV 063005'!F35+'JV 063006'!F35+'JV 063007'!F35+'El 064001'!F35+'EH 066011'!F35+MT066013!F35</f>
        <v>-93488</v>
      </c>
      <c r="G36" s="4">
        <f>adm066051!G35+'gaas 04320'!G35+'Küte 043601'!G37+'küte 043602'!G35+'HV 052001'!G35+'HV 052003'!G35+'HV 052004'!G35+'JV 063001'!G35+'JV 063003'!G35+'JV 063004'!G35+'JV 063005'!G35+'JV 063006'!G35+'JV 063007'!G35+'El 064001'!G35+'EH 066011'!G35+MT066013!G35</f>
        <v>-256678.31999999998</v>
      </c>
      <c r="H36" s="10">
        <f t="shared" si="0"/>
        <v>-227618.72999999998</v>
      </c>
      <c r="I36" s="38">
        <f>adm066051!I35+'gaas 04320'!I35+'Küte 043601'!I37+'küte 043602'!I35+'HV 052001'!I35+'HV 052003'!I35+'HV 052004'!I35+'JV 063001'!I35+'JV 063003'!I35+'JV 063004'!I35+'JV 063005'!I35+'JV 063006'!I35+'JV 063007'!I35+'El 064001'!I35+'EH 066011'!I35+MT066013!I35</f>
        <v>-20786.14</v>
      </c>
      <c r="J36" s="38">
        <f>adm066051!J35+'gaas 04320'!J35+'Küte 043601'!J37+'küte 043602'!J35+'HV 052001'!J35+'HV 052003'!J35+'HV 052004'!J35+'JV 063001'!J35+'JV 063003'!J35+'JV 063004'!J35+'JV 063005'!J35+'JV 063006'!J35+'JV 063007'!J35+'El 064001'!J35+'EH 066011'!J35+MT066013!J35</f>
        <v>-40628.229999999996</v>
      </c>
      <c r="K36" s="38">
        <f>adm066051!K35+'gaas 04320'!K35+'Küte 043601'!K37+'küte 043602'!K35+'HV 052001'!K35+'HV 052003'!K35+'HV 052004'!K35+'JV 063001'!K35+'JV 063003'!K35+'JV 063004'!K35+'JV 063005'!K35+'JV 063006'!K35+'JV 063007'!K35+'El 064001'!K35+'EH 066011'!K35+MT066013!K35</f>
        <v>-9869.11</v>
      </c>
      <c r="L36" s="38">
        <f>adm066051!L35+'gaas 04320'!L35+'Küte 043601'!L37+'küte 043602'!L35+'HV 052001'!L35+'HV 052003'!L35+'HV 052004'!L35+'JV 063001'!L35+'JV 063003'!L35+'JV 063004'!L35+'JV 063005'!L35+'JV 063006'!L35+'JV 063007'!L35+'El 064001'!L35+'EH 066011'!L35+MT066013!L35</f>
        <v>-22656.010000000002</v>
      </c>
      <c r="M36" s="38">
        <f>adm066051!M35+'gaas 04320'!M35+'Küte 043601'!M37+'küte 043602'!M35+'HV 052001'!M35+'HV 052003'!M35+'HV 052004'!M35+'JV 063001'!M35+'JV 063003'!M35+'JV 063004'!M35+'JV 063005'!M35+'JV 063006'!M35+'JV 063007'!M35+'El 064001'!M35+'EH 066011'!M35+MT066013!M35</f>
        <v>-7862.5</v>
      </c>
      <c r="N36" s="13">
        <f>adm066051!N35+'gaas 04320'!N35+'Küte 043601'!N37+'küte 043602'!N35+'HV 052001'!N35+'HV 052003'!N35+'HV 052004'!N35+'JV 063001'!N35+'JV 063003'!N35+'JV 063004'!N35+'JV 063005'!N35+'JV 063006'!N35+'JV 063007'!N35+'El 064001'!N35+'EH 066011'!N35+MT066013!N35</f>
        <v>-32900.33</v>
      </c>
      <c r="O36" s="13">
        <f>adm066051!O35+'gaas 04320'!O35+'Küte 043601'!O37+'küte 043602'!O35+'HV 052001'!O35+'HV 052003'!O35+'HV 052004'!O35+'JV 063001'!O35+'JV 063003'!O35+'JV 063004'!O35+'JV 063005'!O35+'JV 063006'!O35+'JV 063007'!O35+'El 064001'!O35+'EH 066011'!O35+MT066013!O35</f>
        <v>-18462.5</v>
      </c>
      <c r="P36" s="13">
        <f>adm066051!P35+'gaas 04320'!P35+'Küte 043601'!P37+'küte 043602'!P35+'HV 052001'!P35+'HV 052003'!P35+'HV 052004'!P35+'JV 063001'!P35+'JV 063003'!P35+'JV 063004'!P35+'JV 063005'!P35+'JV 063006'!P35+'JV 063007'!P35+'El 064001'!P35+'EH 066011'!P35+MT066013!P35</f>
        <v>-17489.99</v>
      </c>
      <c r="Q36" s="13">
        <f>adm066051!Q35+'gaas 04320'!Q35+'Küte 043601'!Q37+'küte 043602'!Q35+'HV 052001'!Q35+'HV 052003'!Q35+'HV 052004'!Q35+'JV 063001'!Q35+'JV 063003'!Q35+'JV 063004'!Q35+'JV 063005'!Q35+'JV 063006'!Q35+'JV 063007'!Q35+'El 064001'!Q35+'EH 066011'!Q35+MT066013!Q35</f>
        <v>-9093.33</v>
      </c>
      <c r="R36" s="13">
        <f>adm066051!R35+'gaas 04320'!R35+'Küte 043601'!R37+'küte 043602'!R35+'HV 052001'!R35+'HV 052003'!R35+'HV 052004'!R35+'JV 063001'!R35+'JV 063003'!R35+'JV 063004'!R35+'JV 063005'!R35+'JV 063006'!R35+'JV 063007'!R35+'El 064001'!R35+'EH 066011'!R35+MT066013!R35</f>
        <v>-8612.69</v>
      </c>
      <c r="S36" s="13">
        <f>adm066051!S35+'gaas 04320'!S35+'Küte 043601'!S37+'küte 043602'!S35+'HV 052001'!S35+'HV 052003'!S35+'HV 052004'!S35+'JV 063001'!S35+'JV 063003'!S35+'JV 063004'!S35+'JV 063005'!S35+'JV 063006'!S35+'JV 063007'!S35+'El 064001'!S35+'EH 066011'!S35+MT066013!S35</f>
        <v>-15746.6</v>
      </c>
      <c r="T36" s="13">
        <f>adm066051!T35+'gaas 04320'!T35+'Küte 043601'!T37+'küte 043602'!T35+'HV 052001'!T35+'HV 052003'!T35+'HV 052004'!T35+'JV 063001'!T35+'JV 063003'!T35+'JV 063004'!T35+'JV 063005'!T35+'JV 063006'!T35+'JV 063007'!T35+'El 064001'!T35+'EH 066011'!T35+MT066013!T35</f>
        <v>-23511.3</v>
      </c>
    </row>
    <row r="37" spans="1:20" ht="12.75">
      <c r="A37" s="12" t="s">
        <v>10</v>
      </c>
      <c r="B37" s="12" t="s">
        <v>10</v>
      </c>
      <c r="C37" s="12" t="s">
        <v>6</v>
      </c>
      <c r="D37" s="12" t="s">
        <v>6</v>
      </c>
      <c r="E37" s="12" t="s">
        <v>44</v>
      </c>
      <c r="F37" s="4">
        <f>adm066051!F36+'gaas 04320'!F36+'Küte 043601'!F38+'küte 043602'!F36+'HV 052001'!F36+'HV 052003'!F36+'HV 052004'!F36+'JV 063001'!F36+'JV 063003'!F36+'JV 063004'!F36+'JV 063005'!F36+'JV 063006'!F36+'JV 063007'!F36+'El 064001'!F36+'EH 066011'!F36+MT066013!F36</f>
        <v>-1068.64</v>
      </c>
      <c r="G37" s="4">
        <f>adm066051!G36+'gaas 04320'!G36+'Küte 043601'!G38+'küte 043602'!G36+'HV 052001'!G36+'HV 052003'!G36+'HV 052004'!G36+'JV 063001'!G36+'JV 063003'!G36+'JV 063004'!G36+'JV 063005'!G36+'JV 063006'!G36+'JV 063007'!G36+'El 064001'!G36+'EH 066011'!G36+MT066013!G36</f>
        <v>0</v>
      </c>
      <c r="H37" s="10">
        <f t="shared" si="0"/>
        <v>0</v>
      </c>
      <c r="I37" s="38">
        <f>adm066051!I36+'gaas 04320'!I36+'Küte 043601'!I38+'küte 043602'!I36+'HV 052001'!I36+'HV 052003'!I36+'HV 052004'!I36+'JV 063001'!I36+'JV 063003'!I36+'JV 063004'!I36+'JV 063005'!I36+'JV 063006'!I36+'JV 063007'!I36+'El 064001'!I36+'EH 066011'!I36+MT066013!I36</f>
        <v>0</v>
      </c>
      <c r="J37" s="38">
        <f>adm066051!J36+'gaas 04320'!J36+'Küte 043601'!J38+'küte 043602'!J36+'HV 052001'!J36+'HV 052003'!J36+'HV 052004'!J36+'JV 063001'!J36+'JV 063003'!J36+'JV 063004'!J36+'JV 063005'!J36+'JV 063006'!J36+'JV 063007'!J36+'El 064001'!J36+'EH 066011'!J36+MT066013!J36</f>
        <v>0</v>
      </c>
      <c r="K37" s="38">
        <f>adm066051!K36+'gaas 04320'!K36+'Küte 043601'!K38+'küte 043602'!K36+'HV 052001'!K36+'HV 052003'!K36+'HV 052004'!K36+'JV 063001'!K36+'JV 063003'!K36+'JV 063004'!K36+'JV 063005'!K36+'JV 063006'!K36+'JV 063007'!K36+'El 064001'!K36+'EH 066011'!K36+MT066013!K36</f>
        <v>0</v>
      </c>
      <c r="L37" s="38">
        <f>adm066051!L36+'gaas 04320'!L36+'Küte 043601'!L38+'küte 043602'!L36+'HV 052001'!L36+'HV 052003'!L36+'HV 052004'!L36+'JV 063001'!L36+'JV 063003'!L36+'JV 063004'!L36+'JV 063005'!L36+'JV 063006'!L36+'JV 063007'!L36+'El 064001'!L36+'EH 066011'!L36+MT066013!L36</f>
        <v>0</v>
      </c>
      <c r="M37" s="38">
        <f>adm066051!M36+'gaas 04320'!M36+'Küte 043601'!M38+'küte 043602'!M36+'HV 052001'!M36+'HV 052003'!M36+'HV 052004'!M36+'JV 063001'!M36+'JV 063003'!M36+'JV 063004'!M36+'JV 063005'!M36+'JV 063006'!M36+'JV 063007'!M36+'El 064001'!M36+'EH 066011'!M36+MT066013!M36</f>
        <v>0</v>
      </c>
      <c r="N37" s="13">
        <f>adm066051!N36+'gaas 04320'!N36+'Küte 043601'!N38+'küte 043602'!N36+'HV 052001'!N36+'HV 052003'!N36+'HV 052004'!N36+'JV 063001'!N36+'JV 063003'!N36+'JV 063004'!N36+'JV 063005'!N36+'JV 063006'!N36+'JV 063007'!N36+'El 064001'!N36+'EH 066011'!N36+MT066013!N36</f>
        <v>0</v>
      </c>
      <c r="O37" s="13">
        <f>adm066051!O36+'gaas 04320'!O36+'Küte 043601'!O38+'küte 043602'!O36+'HV 052001'!O36+'HV 052003'!O36+'HV 052004'!O36+'JV 063001'!O36+'JV 063003'!O36+'JV 063004'!O36+'JV 063005'!O36+'JV 063006'!O36+'JV 063007'!O36+'El 064001'!O36+'EH 066011'!O36+MT066013!O36</f>
        <v>0</v>
      </c>
      <c r="P37" s="13">
        <f>adm066051!P36+'gaas 04320'!P36+'Küte 043601'!P38+'küte 043602'!P36+'HV 052001'!P36+'HV 052003'!P36+'HV 052004'!P36+'JV 063001'!P36+'JV 063003'!P36+'JV 063004'!P36+'JV 063005'!P36+'JV 063006'!P36+'JV 063007'!P36+'El 064001'!P36+'EH 066011'!P36+MT066013!P36</f>
        <v>0</v>
      </c>
      <c r="Q37" s="13">
        <f>adm066051!Q36+'gaas 04320'!Q36+'Küte 043601'!Q38+'küte 043602'!Q36+'HV 052001'!Q36+'HV 052003'!Q36+'HV 052004'!Q36+'JV 063001'!Q36+'JV 063003'!Q36+'JV 063004'!Q36+'JV 063005'!Q36+'JV 063006'!Q36+'JV 063007'!Q36+'El 064001'!Q36+'EH 066011'!Q36+MT066013!Q36</f>
        <v>0</v>
      </c>
      <c r="R37" s="13">
        <f>adm066051!R36+'gaas 04320'!R36+'Küte 043601'!R38+'küte 043602'!R36+'HV 052001'!R36+'HV 052003'!R36+'HV 052004'!R36+'JV 063001'!R36+'JV 063003'!R36+'JV 063004'!R36+'JV 063005'!R36+'JV 063006'!R36+'JV 063007'!R36+'El 064001'!R36+'EH 066011'!R36+MT066013!R36</f>
        <v>0</v>
      </c>
      <c r="S37" s="13">
        <f>adm066051!S36+'gaas 04320'!S36+'Küte 043601'!S38+'küte 043602'!S36+'HV 052001'!S36+'HV 052003'!S36+'HV 052004'!S36+'JV 063001'!S36+'JV 063003'!S36+'JV 063004'!S36+'JV 063005'!S36+'JV 063006'!S36+'JV 063007'!S36+'El 064001'!S36+'EH 066011'!S36+MT066013!S36</f>
        <v>0</v>
      </c>
      <c r="T37" s="13">
        <f>adm066051!T36+'gaas 04320'!T36+'Küte 043601'!T38+'küte 043602'!T36+'HV 052001'!T36+'HV 052003'!T36+'HV 052004'!T36+'JV 063001'!T36+'JV 063003'!T36+'JV 063004'!T36+'JV 063005'!T36+'JV 063006'!T36+'JV 063007'!T36+'El 064001'!T36+'EH 066011'!T36+MT066013!T36</f>
        <v>0</v>
      </c>
    </row>
    <row r="38" spans="1:20" ht="12.75">
      <c r="A38" s="12">
        <v>5</v>
      </c>
      <c r="B38" s="12">
        <v>5</v>
      </c>
      <c r="C38" s="12">
        <v>2</v>
      </c>
      <c r="D38" s="12">
        <v>5</v>
      </c>
      <c r="E38" s="12" t="s">
        <v>45</v>
      </c>
      <c r="F38" s="4">
        <f>adm066051!F37+'gaas 04320'!F37+'Küte 043601'!F39+'küte 043602'!F37+'HV 052001'!F37+'HV 052003'!F37+'HV 052004'!F37+'JV 063001'!F37+'JV 063003'!F37+'JV 063004'!F37+'JV 063005'!F37+'JV 063006'!F37+'JV 063007'!F37+'El 064001'!F37+'EH 066011'!F37+MT066013!F37</f>
        <v>0</v>
      </c>
      <c r="G38" s="4">
        <f>adm066051!G37+'gaas 04320'!G37+'Küte 043601'!G39+'küte 043602'!G37+'HV 052001'!G37+'HV 052003'!G37+'HV 052004'!G37+'JV 063001'!G37+'JV 063003'!G37+'JV 063004'!G37+'JV 063005'!G37+'JV 063006'!G37+'JV 063007'!G37+'El 064001'!G37+'EH 066011'!G37+MT066013!G37</f>
        <v>-1950</v>
      </c>
      <c r="H38" s="10">
        <f t="shared" si="0"/>
        <v>0</v>
      </c>
      <c r="I38" s="38">
        <f>adm066051!I37+'gaas 04320'!I37+'Küte 043601'!I39+'küte 043602'!I37+'HV 052001'!I37+'HV 052003'!I37+'HV 052004'!I37+'JV 063001'!I37+'JV 063003'!I37+'JV 063004'!I37+'JV 063005'!I37+'JV 063006'!I37+'JV 063007'!I37+'El 064001'!I37+'EH 066011'!I37+MT066013!I37</f>
        <v>0</v>
      </c>
      <c r="J38" s="38">
        <f>adm066051!J37+'gaas 04320'!J37+'Küte 043601'!J39+'küte 043602'!J37+'HV 052001'!J37+'HV 052003'!J37+'HV 052004'!J37+'JV 063001'!J37+'JV 063003'!J37+'JV 063004'!J37+'JV 063005'!J37+'JV 063006'!J37+'JV 063007'!J37+'El 064001'!J37+'EH 066011'!J37+MT066013!J37</f>
        <v>0</v>
      </c>
      <c r="K38" s="38">
        <f>adm066051!K37+'gaas 04320'!K37+'Küte 043601'!K39+'küte 043602'!K37+'HV 052001'!K37+'HV 052003'!K37+'HV 052004'!K37+'JV 063001'!K37+'JV 063003'!K37+'JV 063004'!K37+'JV 063005'!K37+'JV 063006'!K37+'JV 063007'!K37+'El 064001'!K37+'EH 066011'!K37+MT066013!K37</f>
        <v>0</v>
      </c>
      <c r="L38" s="38">
        <f>adm066051!L37+'gaas 04320'!L37+'Küte 043601'!L39+'küte 043602'!L37+'HV 052001'!L37+'HV 052003'!L37+'HV 052004'!L37+'JV 063001'!L37+'JV 063003'!L37+'JV 063004'!L37+'JV 063005'!L37+'JV 063006'!L37+'JV 063007'!L37+'El 064001'!L37+'EH 066011'!L37+MT066013!L37</f>
        <v>0</v>
      </c>
      <c r="M38" s="38">
        <f>adm066051!M37+'gaas 04320'!M37+'Küte 043601'!M39+'küte 043602'!M37+'HV 052001'!M37+'HV 052003'!M37+'HV 052004'!M37+'JV 063001'!M37+'JV 063003'!M37+'JV 063004'!M37+'JV 063005'!M37+'JV 063006'!M37+'JV 063007'!M37+'El 064001'!M37+'EH 066011'!M37+MT066013!M37</f>
        <v>0</v>
      </c>
      <c r="N38" s="13">
        <f>adm066051!N37+'gaas 04320'!N37+'Küte 043601'!N39+'küte 043602'!N37+'HV 052001'!N37+'HV 052003'!N37+'HV 052004'!N37+'JV 063001'!N37+'JV 063003'!N37+'JV 063004'!N37+'JV 063005'!N37+'JV 063006'!N37+'JV 063007'!N37+'El 064001'!N37+'EH 066011'!N37+MT066013!N37</f>
        <v>0</v>
      </c>
      <c r="O38" s="13">
        <f>adm066051!O37+'gaas 04320'!O37+'Küte 043601'!O39+'küte 043602'!O37+'HV 052001'!O37+'HV 052003'!O37+'HV 052004'!O37+'JV 063001'!O37+'JV 063003'!O37+'JV 063004'!O37+'JV 063005'!O37+'JV 063006'!O37+'JV 063007'!O37+'El 064001'!O37+'EH 066011'!O37+MT066013!O37</f>
        <v>0</v>
      </c>
      <c r="P38" s="13">
        <f>adm066051!P37+'gaas 04320'!P37+'Küte 043601'!P39+'küte 043602'!P37+'HV 052001'!P37+'HV 052003'!P37+'HV 052004'!P37+'JV 063001'!P37+'JV 063003'!P37+'JV 063004'!P37+'JV 063005'!P37+'JV 063006'!P37+'JV 063007'!P37+'El 064001'!P37+'EH 066011'!P37+MT066013!P37</f>
        <v>0</v>
      </c>
      <c r="Q38" s="13">
        <f>adm066051!Q37+'gaas 04320'!Q37+'Küte 043601'!Q39+'küte 043602'!Q37+'HV 052001'!Q37+'HV 052003'!Q37+'HV 052004'!Q37+'JV 063001'!Q37+'JV 063003'!Q37+'JV 063004'!Q37+'JV 063005'!Q37+'JV 063006'!Q37+'JV 063007'!Q37+'El 064001'!Q37+'EH 066011'!Q37+MT066013!Q37</f>
        <v>0</v>
      </c>
      <c r="R38" s="13">
        <f>adm066051!R37+'gaas 04320'!R37+'Küte 043601'!R39+'küte 043602'!R37+'HV 052001'!R37+'HV 052003'!R37+'HV 052004'!R37+'JV 063001'!R37+'JV 063003'!R37+'JV 063004'!R37+'JV 063005'!R37+'JV 063006'!R37+'JV 063007'!R37+'El 064001'!R37+'EH 066011'!R37+MT066013!R37</f>
        <v>0</v>
      </c>
      <c r="S38" s="13">
        <f>adm066051!S37+'gaas 04320'!S37+'Küte 043601'!S39+'küte 043602'!S37+'HV 052001'!S37+'HV 052003'!S37+'HV 052004'!S37+'JV 063001'!S37+'JV 063003'!S37+'JV 063004'!S37+'JV 063005'!S37+'JV 063006'!S37+'JV 063007'!S37+'El 064001'!S37+'EH 066011'!S37+MT066013!S37</f>
        <v>0</v>
      </c>
      <c r="T38" s="13">
        <f>adm066051!T37+'gaas 04320'!T37+'Küte 043601'!T39+'küte 043602'!T37+'HV 052001'!T37+'HV 052003'!T37+'HV 052004'!T37+'JV 063001'!T37+'JV 063003'!T37+'JV 063004'!T37+'JV 063005'!T37+'JV 063006'!T37+'JV 063007'!T37+'El 064001'!T37+'EH 066011'!T37+MT066013!T37</f>
        <v>0</v>
      </c>
    </row>
    <row r="39" spans="1:20" ht="12.75">
      <c r="A39" s="12" t="s">
        <v>10</v>
      </c>
      <c r="B39" s="12" t="s">
        <v>10</v>
      </c>
      <c r="C39" s="12" t="s">
        <v>6</v>
      </c>
      <c r="D39" s="12" t="s">
        <v>46</v>
      </c>
      <c r="E39" s="12" t="s">
        <v>47</v>
      </c>
      <c r="F39" s="4">
        <f>adm066051!F38+'gaas 04320'!F38+'Küte 043601'!F40+'küte 043602'!F38+'HV 052001'!F38+'HV 052003'!F38+'HV 052004'!F38+'JV 063001'!F38+'JV 063003'!F38+'JV 063004'!F38+'JV 063005'!F38+'JV 063006'!F38+'JV 063007'!F38+'El 064001'!F38+'EH 066011'!F38+MT066013!F38</f>
        <v>-3792971.0400000005</v>
      </c>
      <c r="G39" s="4">
        <f>adm066051!G38+'gaas 04320'!G38+'Küte 043601'!G40+'küte 043602'!G38+'HV 052001'!G38+'HV 052003'!G38+'HV 052004'!G38+'JV 063001'!G38+'JV 063003'!G38+'JV 063004'!G38+'JV 063005'!G38+'JV 063006'!G38+'JV 063007'!G38+'El 064001'!G38+'EH 066011'!G38+MT066013!G38</f>
        <v>-3101735.98</v>
      </c>
      <c r="H39" s="10">
        <f t="shared" si="0"/>
        <v>-2960527.75</v>
      </c>
      <c r="I39" s="38">
        <f>adm066051!I38+'gaas 04320'!I38+'Küte 043601'!I40+'küte 043602'!I38+'HV 052001'!I38+'HV 052003'!I38+'HV 052004'!I38+'JV 063001'!I38+'JV 063003'!I38+'JV 063004'!I38+'JV 063005'!I38+'JV 063006'!I38+'JV 063007'!I38+'El 064001'!I38+'EH 066011'!I38+MT066013!I38</f>
        <v>-458792.83999999997</v>
      </c>
      <c r="J39" s="38">
        <f>adm066051!J38+'gaas 04320'!J38+'Küte 043601'!J40+'küte 043602'!J38+'HV 052001'!J38+'HV 052003'!J38+'HV 052004'!J38+'JV 063001'!J38+'JV 063003'!J38+'JV 063004'!J38+'JV 063005'!J38+'JV 063006'!J38+'JV 063007'!J38+'El 064001'!J38+'EH 066011'!J38+MT066013!J38</f>
        <v>-337073.27999999997</v>
      </c>
      <c r="K39" s="38">
        <f>adm066051!K38+'gaas 04320'!K38+'Küte 043601'!K40+'küte 043602'!K38+'HV 052001'!K38+'HV 052003'!K38+'HV 052004'!K38+'JV 063001'!K38+'JV 063003'!K38+'JV 063004'!K38+'JV 063005'!K38+'JV 063006'!K38+'JV 063007'!K38+'El 064001'!K38+'EH 066011'!K38+MT066013!K38</f>
        <v>-355197.94999999995</v>
      </c>
      <c r="L39" s="38">
        <f>adm066051!L38+'gaas 04320'!L38+'Küte 043601'!L40+'küte 043602'!L38+'HV 052001'!L38+'HV 052003'!L38+'HV 052004'!L38+'JV 063001'!L38+'JV 063003'!L38+'JV 063004'!L38+'JV 063005'!L38+'JV 063006'!L38+'JV 063007'!L38+'El 064001'!L38+'EH 066011'!L38+MT066013!L38</f>
        <v>-222063.65999999997</v>
      </c>
      <c r="M39" s="38">
        <f>adm066051!M38+'gaas 04320'!M38+'Küte 043601'!M40+'küte 043602'!M38+'HV 052001'!M38+'HV 052003'!M38+'HV 052004'!M38+'JV 063001'!M38+'JV 063003'!M38+'JV 063004'!M38+'JV 063005'!M38+'JV 063006'!M38+'JV 063007'!M38+'El 064001'!M38+'EH 066011'!M38+MT066013!M38</f>
        <v>-199480.12999999998</v>
      </c>
      <c r="N39" s="13">
        <f>adm066051!N38+'gaas 04320'!N38+'Küte 043601'!N40+'küte 043602'!N38+'HV 052001'!N38+'HV 052003'!N38+'HV 052004'!N38+'JV 063001'!N38+'JV 063003'!N38+'JV 063004'!N38+'JV 063005'!N38+'JV 063006'!N38+'JV 063007'!N38+'El 064001'!N38+'EH 066011'!N38+MT066013!N38</f>
        <v>-85599.99999999999</v>
      </c>
      <c r="O39" s="13">
        <f>adm066051!O38+'gaas 04320'!O38+'Küte 043601'!O40+'küte 043602'!O38+'HV 052001'!O38+'HV 052003'!O38+'HV 052004'!O38+'JV 063001'!O38+'JV 063003'!O38+'JV 063004'!O38+'JV 063005'!O38+'JV 063006'!O38+'JV 063007'!O38+'El 064001'!O38+'EH 066011'!O38+MT066013!O38</f>
        <v>-72379.01</v>
      </c>
      <c r="P39" s="13">
        <f>adm066051!P38+'gaas 04320'!P38+'Küte 043601'!P40+'küte 043602'!P38+'HV 052001'!P38+'HV 052003'!P38+'HV 052004'!P38+'JV 063001'!P38+'JV 063003'!P38+'JV 063004'!P38+'JV 063005'!P38+'JV 063006'!P38+'JV 063007'!P38+'El 064001'!P38+'EH 066011'!P38+MT066013!P38</f>
        <v>-85892.90999999999</v>
      </c>
      <c r="Q39" s="13">
        <f>adm066051!Q38+'gaas 04320'!Q38+'Küte 043601'!Q40+'küte 043602'!Q38+'HV 052001'!Q38+'HV 052003'!Q38+'HV 052004'!Q38+'JV 063001'!Q38+'JV 063003'!Q38+'JV 063004'!Q38+'JV 063005'!Q38+'JV 063006'!Q38+'JV 063007'!Q38+'El 064001'!Q38+'EH 066011'!Q38+MT066013!Q38</f>
        <v>-129709.50000000001</v>
      </c>
      <c r="R39" s="13">
        <f>adm066051!R38+'gaas 04320'!R38+'Küte 043601'!R40+'küte 043602'!R38+'HV 052001'!R38+'HV 052003'!R38+'HV 052004'!R38+'JV 063001'!R38+'JV 063003'!R38+'JV 063004'!R38+'JV 063005'!R38+'JV 063006'!R38+'JV 063007'!R38+'El 064001'!R38+'EH 066011'!R38+MT066013!R38</f>
        <v>-237117.19000000006</v>
      </c>
      <c r="S39" s="13">
        <f>adm066051!S38+'gaas 04320'!S38+'Küte 043601'!S40+'küte 043602'!S38+'HV 052001'!S38+'HV 052003'!S38+'HV 052004'!S38+'JV 063001'!S38+'JV 063003'!S38+'JV 063004'!S38+'JV 063005'!S38+'JV 063006'!S38+'JV 063007'!S38+'El 064001'!S38+'EH 066011'!S38+MT066013!S38</f>
        <v>-324728.31</v>
      </c>
      <c r="T39" s="13">
        <f>adm066051!T38+'gaas 04320'!T38+'Küte 043601'!T40+'küte 043602'!T38+'HV 052001'!T38+'HV 052003'!T38+'HV 052004'!T38+'JV 063001'!T38+'JV 063003'!T38+'JV 063004'!T38+'JV 063005'!T38+'JV 063006'!T38+'JV 063007'!T38+'El 064001'!T38+'EH 066011'!T38+MT066013!T38</f>
        <v>-452492.97</v>
      </c>
    </row>
    <row r="40" spans="1:20" ht="12.75">
      <c r="A40" s="12" t="s">
        <v>10</v>
      </c>
      <c r="B40" s="12" t="s">
        <v>10</v>
      </c>
      <c r="C40" s="12" t="s">
        <v>3</v>
      </c>
      <c r="D40" s="12" t="s">
        <v>6</v>
      </c>
      <c r="E40" s="12" t="s">
        <v>48</v>
      </c>
      <c r="F40" s="4">
        <f>adm066051!F39+'gaas 04320'!F39+'Küte 043601'!F41+'küte 043602'!F39+'HV 052001'!F39+'HV 052003'!F39+'HV 052004'!F39+'JV 063001'!F39+'JV 063003'!F39+'JV 063004'!F39+'JV 063005'!F39+'JV 063006'!F39+'JV 063007'!F39+'El 064001'!F39+'EH 066011'!F39+MT066013!F39</f>
        <v>-2673.0600000000004</v>
      </c>
      <c r="G40" s="4">
        <f>adm066051!G39+'gaas 04320'!G39+'Küte 043601'!G41+'küte 043602'!G39+'HV 052001'!G39+'HV 052003'!G39+'HV 052004'!G39+'JV 063001'!G39+'JV 063003'!G39+'JV 063004'!G39+'JV 063005'!G39+'JV 063006'!G39+'JV 063007'!G39+'El 064001'!G39+'EH 066011'!G39+MT066013!G39</f>
        <v>-7988.820000000001</v>
      </c>
      <c r="H40" s="10">
        <f t="shared" si="0"/>
        <v>-13113.430000000002</v>
      </c>
      <c r="I40" s="38">
        <f>adm066051!I39+'gaas 04320'!I39+'Küte 043601'!I41+'küte 043602'!I39+'HV 052001'!I39+'HV 052003'!I39+'HV 052004'!I39+'JV 063001'!I39+'JV 063003'!I39+'JV 063004'!I39+'JV 063005'!I39+'JV 063006'!I39+'JV 063007'!I39+'El 064001'!I39+'EH 066011'!I39+MT066013!I39</f>
        <v>-358.66999999999996</v>
      </c>
      <c r="J40" s="38">
        <f>adm066051!J39+'gaas 04320'!J39+'Küte 043601'!J41+'küte 043602'!J39+'HV 052001'!J39+'HV 052003'!J39+'HV 052004'!J39+'JV 063001'!J39+'JV 063003'!J39+'JV 063004'!J39+'JV 063005'!J39+'JV 063006'!J39+'JV 063007'!J39+'El 064001'!J39+'EH 066011'!J39+MT066013!J39</f>
        <v>-289.03</v>
      </c>
      <c r="K40" s="38">
        <f>adm066051!K39+'gaas 04320'!K39+'Küte 043601'!K41+'küte 043602'!K39+'HV 052001'!K39+'HV 052003'!K39+'HV 052004'!K39+'JV 063001'!K39+'JV 063003'!K39+'JV 063004'!K39+'JV 063005'!K39+'JV 063006'!K39+'JV 063007'!K39+'El 064001'!K39+'EH 066011'!K39+MT066013!K39</f>
        <v>-106.92</v>
      </c>
      <c r="L40" s="38">
        <f>adm066051!L39+'gaas 04320'!L39+'Küte 043601'!L41+'küte 043602'!L39+'HV 052001'!L39+'HV 052003'!L39+'HV 052004'!L39+'JV 063001'!L39+'JV 063003'!L39+'JV 063004'!L39+'JV 063005'!L39+'JV 063006'!L39+'JV 063007'!L39+'El 064001'!L39+'EH 066011'!L39+MT066013!L39</f>
        <v>-4748.38</v>
      </c>
      <c r="M40" s="38">
        <f>adm066051!M39+'gaas 04320'!M39+'Küte 043601'!M41+'küte 043602'!M39+'HV 052001'!M39+'HV 052003'!M39+'HV 052004'!M39+'JV 063001'!M39+'JV 063003'!M39+'JV 063004'!M39+'JV 063005'!M39+'JV 063006'!M39+'JV 063007'!M39+'El 064001'!M39+'EH 066011'!M39+MT066013!M39</f>
        <v>-55.42</v>
      </c>
      <c r="N40" s="13">
        <f>adm066051!N39+'gaas 04320'!N39+'Küte 043601'!N41+'küte 043602'!N39+'HV 052001'!N39+'HV 052003'!N39+'HV 052004'!N39+'JV 063001'!N39+'JV 063003'!N39+'JV 063004'!N39+'JV 063005'!N39+'JV 063006'!N39+'JV 063007'!N39+'El 064001'!N39+'EH 066011'!N39+MT066013!N39</f>
        <v>-113.22</v>
      </c>
      <c r="O40" s="13">
        <f>adm066051!O39+'gaas 04320'!O39+'Küte 043601'!O41+'küte 043602'!O39+'HV 052001'!O39+'HV 052003'!O39+'HV 052004'!O39+'JV 063001'!O39+'JV 063003'!O39+'JV 063004'!O39+'JV 063005'!O39+'JV 063006'!O39+'JV 063007'!O39+'El 064001'!O39+'EH 066011'!O39+MT066013!O39</f>
        <v>-110.87</v>
      </c>
      <c r="P40" s="13">
        <f>adm066051!P39+'gaas 04320'!P39+'Küte 043601'!P41+'küte 043602'!P39+'HV 052001'!P39+'HV 052003'!P39+'HV 052004'!P39+'JV 063001'!P39+'JV 063003'!P39+'JV 063004'!P39+'JV 063005'!P39+'JV 063006'!P39+'JV 063007'!P39+'El 064001'!P39+'EH 066011'!P39+MT066013!P39</f>
        <v>-547.4300000000001</v>
      </c>
      <c r="Q40" s="13">
        <f>adm066051!Q39+'gaas 04320'!Q39+'Küte 043601'!Q41+'küte 043602'!Q39+'HV 052001'!Q39+'HV 052003'!Q39+'HV 052004'!Q39+'JV 063001'!Q39+'JV 063003'!Q39+'JV 063004'!Q39+'JV 063005'!Q39+'JV 063006'!Q39+'JV 063007'!Q39+'El 064001'!Q39+'EH 066011'!Q39+MT066013!Q39</f>
        <v>-239.79000000000002</v>
      </c>
      <c r="R40" s="13">
        <f>adm066051!R39+'gaas 04320'!R39+'Küte 043601'!R41+'küte 043602'!R39+'HV 052001'!R39+'HV 052003'!R39+'HV 052004'!R39+'JV 063001'!R39+'JV 063003'!R39+'JV 063004'!R39+'JV 063005'!R39+'JV 063006'!R39+'JV 063007'!R39+'El 064001'!R39+'EH 066011'!R39+MT066013!R39</f>
        <v>-263.46000000000004</v>
      </c>
      <c r="S40" s="13">
        <f>adm066051!S39+'gaas 04320'!S39+'Küte 043601'!S41+'küte 043602'!S39+'HV 052001'!S39+'HV 052003'!S39+'HV 052004'!S39+'JV 063001'!S39+'JV 063003'!S39+'JV 063004'!S39+'JV 063005'!S39+'JV 063006'!S39+'JV 063007'!S39+'El 064001'!S39+'EH 066011'!S39+MT066013!S39</f>
        <v>-5239.4800000000005</v>
      </c>
      <c r="T40" s="13">
        <f>adm066051!T39+'gaas 04320'!T39+'Küte 043601'!T41+'küte 043602'!T39+'HV 052001'!T39+'HV 052003'!T39+'HV 052004'!T39+'JV 063001'!T39+'JV 063003'!T39+'JV 063004'!T39+'JV 063005'!T39+'JV 063006'!T39+'JV 063007'!T39+'El 064001'!T39+'EH 066011'!T39+MT066013!T39</f>
        <v>-1040.76</v>
      </c>
    </row>
    <row r="41" spans="1:20" ht="12.75">
      <c r="A41" s="12" t="s">
        <v>10</v>
      </c>
      <c r="B41" s="12" t="s">
        <v>10</v>
      </c>
      <c r="C41" s="12" t="s">
        <v>3</v>
      </c>
      <c r="D41" s="12" t="s">
        <v>46</v>
      </c>
      <c r="E41" s="12" t="s">
        <v>49</v>
      </c>
      <c r="F41" s="4">
        <f>adm066051!F40+'gaas 04320'!F40+'Küte 043601'!F42+'küte 043602'!F40+'HV 052001'!F40+'HV 052003'!F40+'HV 052004'!F40+'JV 063001'!F40+'JV 063003'!F40+'JV 063004'!F40+'JV 063005'!F40+'JV 063006'!F40+'JV 063007'!F40+'El 064001'!F40+'EH 066011'!F40+MT066013!F40</f>
        <v>-41485.799999999996</v>
      </c>
      <c r="G41" s="4">
        <f>adm066051!G40+'gaas 04320'!G40+'Küte 043601'!G42+'küte 043602'!G40+'HV 052001'!G40+'HV 052003'!G40+'HV 052004'!G40+'JV 063001'!G40+'JV 063003'!G40+'JV 063004'!G40+'JV 063005'!G40+'JV 063006'!G40+'JV 063007'!G40+'El 064001'!G40+'EH 066011'!G40+MT066013!G40</f>
        <v>-43081.73</v>
      </c>
      <c r="H41" s="10">
        <f t="shared" si="0"/>
        <v>-55238</v>
      </c>
      <c r="I41" s="38">
        <f>adm066051!I40+'gaas 04320'!I40+'Küte 043601'!I42+'küte 043602'!I40+'HV 052001'!I40+'HV 052003'!I40+'HV 052004'!I40+'JV 063001'!I40+'JV 063003'!I40+'JV 063004'!I40+'JV 063005'!I40+'JV 063006'!I40+'JV 063007'!I40+'El 064001'!I40+'EH 066011'!I40+MT066013!I40</f>
        <v>-4800</v>
      </c>
      <c r="J41" s="38">
        <f>adm066051!J40+'gaas 04320'!J40+'Küte 043601'!J42+'küte 043602'!J40+'HV 052001'!J40+'HV 052003'!J40+'HV 052004'!J40+'JV 063001'!J40+'JV 063003'!J40+'JV 063004'!J40+'JV 063005'!J40+'JV 063006'!J40+'JV 063007'!J40+'El 064001'!J40+'EH 066011'!J40+MT066013!J40</f>
        <v>-4900</v>
      </c>
      <c r="K41" s="38">
        <f>adm066051!K40+'gaas 04320'!K40+'Küte 043601'!K42+'küte 043602'!K40+'HV 052001'!K40+'HV 052003'!K40+'HV 052004'!K40+'JV 063001'!K40+'JV 063003'!K40+'JV 063004'!K40+'JV 063005'!K40+'JV 063006'!K40+'JV 063007'!K40+'El 064001'!K40+'EH 066011'!K40+MT066013!K40</f>
        <v>-14290</v>
      </c>
      <c r="L41" s="38">
        <f>adm066051!L40+'gaas 04320'!L40+'Küte 043601'!L42+'küte 043602'!L40+'HV 052001'!L40+'HV 052003'!L40+'HV 052004'!L40+'JV 063001'!L40+'JV 063003'!L40+'JV 063004'!L40+'JV 063005'!L40+'JV 063006'!L40+'JV 063007'!L40+'El 064001'!L40+'EH 066011'!L40+MT066013!L40</f>
        <v>-900</v>
      </c>
      <c r="M41" s="38">
        <f>adm066051!M40+'gaas 04320'!M40+'Küte 043601'!M42+'küte 043602'!M40+'HV 052001'!M40+'HV 052003'!M40+'HV 052004'!M40+'JV 063001'!M40+'JV 063003'!M40+'JV 063004'!M40+'JV 063005'!M40+'JV 063006'!M40+'JV 063007'!M40+'El 064001'!M40+'EH 066011'!M40+MT066013!M40</f>
        <v>-1308</v>
      </c>
      <c r="N41" s="13">
        <f>adm066051!N40+'gaas 04320'!N40+'Küte 043601'!N42+'küte 043602'!N40+'HV 052001'!N40+'HV 052003'!N40+'HV 052004'!N40+'JV 063001'!N40+'JV 063003'!N40+'JV 063004'!N40+'JV 063005'!N40+'JV 063006'!N40+'JV 063007'!N40+'El 064001'!N40+'EH 066011'!N40+MT066013!N40</f>
        <v>-6400</v>
      </c>
      <c r="O41" s="13">
        <f>adm066051!O40+'gaas 04320'!O40+'Küte 043601'!O42+'küte 043602'!O40+'HV 052001'!O40+'HV 052003'!O40+'HV 052004'!O40+'JV 063001'!O40+'JV 063003'!O40+'JV 063004'!O40+'JV 063005'!O40+'JV 063006'!O40+'JV 063007'!O40+'El 064001'!O40+'EH 066011'!O40+MT066013!O40</f>
        <v>-9200</v>
      </c>
      <c r="P41" s="13">
        <f>adm066051!P40+'gaas 04320'!P40+'Küte 043601'!P42+'küte 043602'!P40+'HV 052001'!P40+'HV 052003'!P40+'HV 052004'!P40+'JV 063001'!P40+'JV 063003'!P40+'JV 063004'!P40+'JV 063005'!P40+'JV 063006'!P40+'JV 063007'!P40+'El 064001'!P40+'EH 066011'!P40+MT066013!P40</f>
        <v>0</v>
      </c>
      <c r="Q41" s="13">
        <f>adm066051!Q40+'gaas 04320'!Q40+'Küte 043601'!Q42+'küte 043602'!Q40+'HV 052001'!Q40+'HV 052003'!Q40+'HV 052004'!Q40+'JV 063001'!Q40+'JV 063003'!Q40+'JV 063004'!Q40+'JV 063005'!Q40+'JV 063006'!Q40+'JV 063007'!Q40+'El 064001'!Q40+'EH 066011'!Q40+MT066013!Q40</f>
        <v>0</v>
      </c>
      <c r="R41" s="13">
        <f>adm066051!R40+'gaas 04320'!R40+'Küte 043601'!R42+'küte 043602'!R40+'HV 052001'!R40+'HV 052003'!R40+'HV 052004'!R40+'JV 063001'!R40+'JV 063003'!R40+'JV 063004'!R40+'JV 063005'!R40+'JV 063006'!R40+'JV 063007'!R40+'El 064001'!R40+'EH 066011'!R40+MT066013!R40</f>
        <v>-12000</v>
      </c>
      <c r="S41" s="13">
        <f>adm066051!S40+'gaas 04320'!S40+'Küte 043601'!S42+'küte 043602'!S40+'HV 052001'!S40+'HV 052003'!S40+'HV 052004'!S40+'JV 063001'!S40+'JV 063003'!S40+'JV 063004'!S40+'JV 063005'!S40+'JV 063006'!S40+'JV 063007'!S40+'El 064001'!S40+'EH 066011'!S40+MT066013!S40</f>
        <v>-1200</v>
      </c>
      <c r="T41" s="13">
        <f>adm066051!T40+'gaas 04320'!T40+'Küte 043601'!T42+'küte 043602'!T40+'HV 052001'!T40+'HV 052003'!T40+'HV 052004'!T40+'JV 063001'!T40+'JV 063003'!T40+'JV 063004'!T40+'JV 063005'!T40+'JV 063006'!T40+'JV 063007'!T40+'El 064001'!T40+'EH 066011'!T40+MT066013!T40</f>
        <v>-240</v>
      </c>
    </row>
    <row r="42" spans="1:20" ht="12.75">
      <c r="A42" s="12">
        <v>5</v>
      </c>
      <c r="B42" s="12">
        <v>5</v>
      </c>
      <c r="C42" s="12">
        <v>4</v>
      </c>
      <c r="D42" s="12">
        <v>0</v>
      </c>
      <c r="E42" s="12" t="s">
        <v>106</v>
      </c>
      <c r="F42" s="4">
        <f>adm066051!F41+'gaas 04320'!F41+'Küte 043601'!F43+'küte 043602'!F41+'HV 052001'!F41+'HV 052003'!F41+'HV 052004'!F41+'JV 063001'!F41+'JV 063003'!F41+'JV 063004'!F41+'JV 063005'!F41+'JV 063006'!F41+'JV 063007'!F41+'El 064001'!F41+'EH 066011'!F41+MT066013!F41</f>
        <v>0</v>
      </c>
      <c r="G42" s="4">
        <f>adm066051!G41+'gaas 04320'!G41+'Küte 043601'!G43+'küte 043602'!G41+'HV 052001'!G41+'HV 052003'!G41+'HV 052004'!G41+'JV 063001'!G41+'JV 063003'!G41+'JV 063004'!G41+'JV 063005'!G41+'JV 063006'!G41+'JV 063007'!G41+'El 064001'!G41+'EH 066011'!G41+MT066013!G41</f>
        <v>0</v>
      </c>
      <c r="H42" s="10">
        <f t="shared" si="0"/>
        <v>-13297</v>
      </c>
      <c r="I42" s="38">
        <f>adm066051!I41+'gaas 04320'!I41+'Küte 043601'!I43+'küte 043602'!I41+'HV 052001'!I41+'HV 052003'!I41+'HV 052004'!I41+'JV 063001'!I41+'JV 063003'!I41+'JV 063004'!I41+'JV 063005'!I41+'JV 063006'!I41+'JV 063007'!I41+'El 064001'!I41+'EH 066011'!I41+MT066013!I41</f>
        <v>0</v>
      </c>
      <c r="J42" s="38">
        <f>adm066051!J41+'gaas 04320'!J41+'Küte 043601'!J43+'küte 043602'!J41+'HV 052001'!J41+'HV 052003'!J41+'HV 052004'!J41+'JV 063001'!J41+'JV 063003'!J41+'JV 063004'!J41+'JV 063005'!J41+'JV 063006'!J41+'JV 063007'!J41+'El 064001'!J41+'EH 066011'!J41+MT066013!J41</f>
        <v>0</v>
      </c>
      <c r="K42" s="38">
        <f>adm066051!K41+'gaas 04320'!K41+'Küte 043601'!K43+'küte 043602'!K41+'HV 052001'!K41+'HV 052003'!K41+'HV 052004'!K41+'JV 063001'!K41+'JV 063003'!K41+'JV 063004'!K41+'JV 063005'!K41+'JV 063006'!K41+'JV 063007'!K41+'El 064001'!K41+'EH 066011'!K41+MT066013!K41</f>
        <v>0</v>
      </c>
      <c r="L42" s="38">
        <f>adm066051!L41+'gaas 04320'!L41+'Küte 043601'!L43+'küte 043602'!L41+'HV 052001'!L41+'HV 052003'!L41+'HV 052004'!L41+'JV 063001'!L41+'JV 063003'!L41+'JV 063004'!L41+'JV 063005'!L41+'JV 063006'!L41+'JV 063007'!L41+'El 064001'!L41+'EH 066011'!L41+MT066013!L41</f>
        <v>0</v>
      </c>
      <c r="M42" s="38">
        <f>adm066051!M41+'gaas 04320'!M41+'Küte 043601'!M43+'küte 043602'!M41+'HV 052001'!M41+'HV 052003'!M41+'HV 052004'!M41+'JV 063001'!M41+'JV 063003'!M41+'JV 063004'!M41+'JV 063005'!M41+'JV 063006'!M41+'JV 063007'!M41+'El 064001'!M41+'EH 066011'!M41+MT066013!M41</f>
        <v>-2978</v>
      </c>
      <c r="N42" s="13">
        <f>adm066051!N41+'gaas 04320'!N41+'Küte 043601'!N43+'küte 043602'!N41+'HV 052001'!N41+'HV 052003'!N41+'HV 052004'!N41+'JV 063001'!N41+'JV 063003'!N41+'JV 063004'!N41+'JV 063005'!N41+'JV 063006'!N41+'JV 063007'!N41+'El 064001'!N41+'EH 066011'!N41+MT066013!N41</f>
        <v>0</v>
      </c>
      <c r="O42" s="13">
        <f>adm066051!O41+'gaas 04320'!O41+'Küte 043601'!O43+'küte 043602'!O41+'HV 052001'!O41+'HV 052003'!O41+'HV 052004'!O41+'JV 063001'!O41+'JV 063003'!O41+'JV 063004'!O41+'JV 063005'!O41+'JV 063006'!O41+'JV 063007'!O41+'El 064001'!O41+'EH 066011'!O41+MT066013!O41</f>
        <v>0</v>
      </c>
      <c r="P42" s="13">
        <f>adm066051!P41+'gaas 04320'!P41+'Küte 043601'!P43+'küte 043602'!P41+'HV 052001'!P41+'HV 052003'!P41+'HV 052004'!P41+'JV 063001'!P41+'JV 063003'!P41+'JV 063004'!P41+'JV 063005'!P41+'JV 063006'!P41+'JV 063007'!P41+'El 064001'!P41+'EH 066011'!P41+MT066013!P41</f>
        <v>0</v>
      </c>
      <c r="Q42" s="13">
        <f>adm066051!Q41+'gaas 04320'!Q41+'Küte 043601'!Q43+'küte 043602'!Q41+'HV 052001'!Q41+'HV 052003'!Q41+'HV 052004'!Q41+'JV 063001'!Q41+'JV 063003'!Q41+'JV 063004'!Q41+'JV 063005'!Q41+'JV 063006'!Q41+'JV 063007'!Q41+'El 064001'!Q41+'EH 066011'!Q41+MT066013!Q41</f>
        <v>0</v>
      </c>
      <c r="R42" s="13">
        <f>adm066051!R41+'gaas 04320'!R41+'Küte 043601'!R43+'küte 043602'!R41+'HV 052001'!R41+'HV 052003'!R41+'HV 052004'!R41+'JV 063001'!R41+'JV 063003'!R41+'JV 063004'!R41+'JV 063005'!R41+'JV 063006'!R41+'JV 063007'!R41+'El 064001'!R41+'EH 066011'!R41+MT066013!R41</f>
        <v>0</v>
      </c>
      <c r="S42" s="13">
        <f>adm066051!S41+'gaas 04320'!S41+'Küte 043601'!S43+'küte 043602'!S41+'HV 052001'!S41+'HV 052003'!S41+'HV 052004'!S41+'JV 063001'!S41+'JV 063003'!S41+'JV 063004'!S41+'JV 063005'!S41+'JV 063006'!S41+'JV 063007'!S41+'El 064001'!S41+'EH 066011'!S41+MT066013!S41</f>
        <v>-160</v>
      </c>
      <c r="T42" s="13">
        <f>adm066051!T41+'gaas 04320'!T41+'Küte 043601'!T43+'küte 043602'!T41+'HV 052001'!T41+'HV 052003'!T41+'HV 052004'!T41+'JV 063001'!T41+'JV 063003'!T41+'JV 063004'!T41+'JV 063005'!T41+'JV 063006'!T41+'JV 063007'!T41+'El 064001'!T41+'EH 066011'!T41+MT066013!T41</f>
        <v>-10159</v>
      </c>
    </row>
    <row r="43" spans="1:20" ht="12.75">
      <c r="A43" s="6" t="s">
        <v>34</v>
      </c>
      <c r="B43" s="6" t="s">
        <v>4</v>
      </c>
      <c r="C43" s="6" t="s">
        <v>4</v>
      </c>
      <c r="D43" s="6" t="s">
        <v>4</v>
      </c>
      <c r="E43" s="6" t="s">
        <v>50</v>
      </c>
      <c r="F43" s="4">
        <f>adm066051!F42+'gaas 04320'!F42+'Küte 043601'!F44+'küte 043602'!F42+'HV 052001'!F42+'HV 052003'!F42+'HV 052004'!F42+'JV 063001'!F42+'JV 063003'!F42+'JV 063004'!F42+'JV 063005'!F42+'JV 063006'!F42+'JV 063007'!F42+'El 064001'!F42+'EH 066011'!F42+MT066013!F42</f>
        <v>-2578984.2399999993</v>
      </c>
      <c r="G43" s="4">
        <f>adm066051!G42+'gaas 04320'!G42+'Küte 043601'!G44+'küte 043602'!G42+'HV 052001'!G42+'HV 052003'!G42+'HV 052004'!G42+'JV 063001'!G42+'JV 063003'!G42+'JV 063004'!G42+'JV 063005'!G42+'JV 063006'!G42+'JV 063007'!G42+'El 064001'!G42+'EH 066011'!G42+MT066013!G42</f>
        <v>-2542298.69</v>
      </c>
      <c r="H43" s="4">
        <f t="shared" si="0"/>
        <v>-3141819.94</v>
      </c>
      <c r="I43" s="40">
        <f>adm066051!I42+'gaas 04320'!I42+'Küte 043601'!I44+'küte 043602'!I42+'HV 052001'!I42+'HV 052003'!I42+'HV 052004'!I42+'JV 063001'!I42+'JV 063003'!I42+'JV 063004'!I42+'JV 063005'!I42+'JV 063006'!I42+'JV 063007'!I42+'El 064001'!I42+'EH 066011'!I42+MT066013!I42</f>
        <v>-224223.00999999998</v>
      </c>
      <c r="J43" s="40">
        <f>adm066051!J42+'gaas 04320'!J42+'Küte 043601'!J44+'küte 043602'!J42+'HV 052001'!J42+'HV 052003'!J42+'HV 052004'!J42+'JV 063001'!J42+'JV 063003'!J42+'JV 063004'!J42+'JV 063005'!J42+'JV 063006'!J42+'JV 063007'!J42+'El 064001'!J42+'EH 066011'!J42+MT066013!J42</f>
        <v>-234890.58000000002</v>
      </c>
      <c r="K43" s="40">
        <f>adm066051!K42+'gaas 04320'!K42+'Küte 043601'!K44+'küte 043602'!K42+'HV 052001'!K42+'HV 052003'!K42+'HV 052004'!K42+'JV 063001'!K42+'JV 063003'!K42+'JV 063004'!K42+'JV 063005'!K42+'JV 063006'!K42+'JV 063007'!K42+'El 064001'!K42+'EH 066011'!K42+MT066013!K42</f>
        <v>-281745.62</v>
      </c>
      <c r="L43" s="40">
        <f>adm066051!L42+'gaas 04320'!L42+'Küte 043601'!L44+'küte 043602'!L42+'HV 052001'!L42+'HV 052003'!L42+'HV 052004'!L42+'JV 063001'!L42+'JV 063003'!L42+'JV 063004'!L42+'JV 063005'!L42+'JV 063006'!L42+'JV 063007'!L42+'El 064001'!L42+'EH 066011'!L42+MT066013!L42</f>
        <v>-225001.93</v>
      </c>
      <c r="M43" s="40">
        <f>adm066051!M42+'gaas 04320'!M42+'Küte 043601'!M44+'küte 043602'!M42+'HV 052001'!M42+'HV 052003'!M42+'HV 052004'!M42+'JV 063001'!M42+'JV 063003'!M42+'JV 063004'!M42+'JV 063005'!M42+'JV 063006'!M42+'JV 063007'!M42+'El 064001'!M42+'EH 066011'!M42+MT066013!M42</f>
        <v>-227829.52</v>
      </c>
      <c r="N43" s="4">
        <f>adm066051!N42+'gaas 04320'!N42+'Küte 043601'!N44+'küte 043602'!N42+'HV 052001'!N42+'HV 052003'!N42+'HV 052004'!N42+'JV 063001'!N42+'JV 063003'!N42+'JV 063004'!N42+'JV 063005'!N42+'JV 063006'!N42+'JV 063007'!N42+'El 064001'!N42+'EH 066011'!N42+MT066013!N42</f>
        <v>-290651.14999999997</v>
      </c>
      <c r="O43" s="4">
        <f>adm066051!O42+'gaas 04320'!O42+'Küte 043601'!O44+'küte 043602'!O42+'HV 052001'!O42+'HV 052003'!O42+'HV 052004'!O42+'JV 063001'!O42+'JV 063003'!O42+'JV 063004'!O42+'JV 063005'!O42+'JV 063006'!O42+'JV 063007'!O42+'El 064001'!O42+'EH 066011'!O42+MT066013!O42</f>
        <v>-231176.94000000006</v>
      </c>
      <c r="P43" s="4">
        <f>adm066051!P42+'gaas 04320'!P42+'Küte 043601'!P44+'küte 043602'!P42+'HV 052001'!P42+'HV 052003'!P42+'HV 052004'!P42+'JV 063001'!P42+'JV 063003'!P42+'JV 063004'!P42+'JV 063005'!P42+'JV 063006'!P42+'JV 063007'!P42+'El 064001'!P42+'EH 066011'!P42+MT066013!P42</f>
        <v>-244034.87999999998</v>
      </c>
      <c r="Q43" s="4">
        <f>adm066051!Q42+'gaas 04320'!Q42+'Küte 043601'!Q44+'küte 043602'!Q42+'HV 052001'!Q42+'HV 052003'!Q42+'HV 052004'!Q42+'JV 063001'!Q42+'JV 063003'!Q42+'JV 063004'!Q42+'JV 063005'!Q42+'JV 063006'!Q42+'JV 063007'!Q42+'El 064001'!Q42+'EH 066011'!Q42+MT066013!Q42</f>
        <v>-345815.83999999997</v>
      </c>
      <c r="R43" s="4">
        <f>adm066051!R42+'gaas 04320'!R42+'Küte 043601'!R44+'küte 043602'!R42+'HV 052001'!R42+'HV 052003'!R42+'HV 052004'!R42+'JV 063001'!R42+'JV 063003'!R42+'JV 063004'!R42+'JV 063005'!R42+'JV 063006'!R42+'JV 063007'!R42+'El 064001'!R42+'EH 066011'!R42+MT066013!R42</f>
        <v>-240311.63</v>
      </c>
      <c r="S43" s="4">
        <f>adm066051!S42+'gaas 04320'!S42+'Küte 043601'!S44+'küte 043602'!S42+'HV 052001'!S42+'HV 052003'!S42+'HV 052004'!S42+'JV 063001'!S42+'JV 063003'!S42+'JV 063004'!S42+'JV 063005'!S42+'JV 063006'!S42+'JV 063007'!S42+'El 064001'!S42+'EH 066011'!S42+MT066013!S42</f>
        <v>-251703.26000000004</v>
      </c>
      <c r="T43" s="4">
        <f>adm066051!T42+'gaas 04320'!T42+'Küte 043601'!T44+'küte 043602'!T42+'HV 052001'!T42+'HV 052003'!T42+'HV 052004'!T42+'JV 063001'!T42+'JV 063003'!T42+'JV 063004'!T42+'JV 063005'!T42+'JV 063006'!T42+'JV 063007'!T42+'El 064001'!T42+'EH 066011'!T42+MT066013!T42</f>
        <v>-344435.58</v>
      </c>
    </row>
    <row r="44" spans="1:20" ht="12.75">
      <c r="A44" s="6" t="s">
        <v>34</v>
      </c>
      <c r="B44" s="6" t="s">
        <v>13</v>
      </c>
      <c r="C44" s="6" t="s">
        <v>4</v>
      </c>
      <c r="D44" s="6" t="s">
        <v>4</v>
      </c>
      <c r="E44" s="6" t="s">
        <v>51</v>
      </c>
      <c r="F44" s="4">
        <f>adm066051!F43+'gaas 04320'!F43+'Küte 043601'!F45+'küte 043602'!F43+'HV 052001'!F43+'HV 052003'!F43+'HV 052004'!F43+'JV 063001'!F43+'JV 063003'!F43+'JV 063004'!F43+'JV 063005'!F43+'JV 063006'!F43+'JV 063007'!F43+'El 064001'!F43+'EH 066011'!F43+MT066013!F43</f>
        <v>-571590.4900000001</v>
      </c>
      <c r="G44" s="4">
        <f>adm066051!G43+'gaas 04320'!G43+'Küte 043601'!G45+'küte 043602'!G43+'HV 052001'!G43+'HV 052003'!G43+'HV 052004'!G43+'JV 063001'!G43+'JV 063003'!G43+'JV 063004'!G43+'JV 063005'!G43+'JV 063006'!G43+'JV 063007'!G43+'El 064001'!G43+'EH 066011'!G43+MT066013!G43</f>
        <v>-295687.81</v>
      </c>
      <c r="H44" s="7">
        <f t="shared" si="0"/>
        <v>-366590.2</v>
      </c>
      <c r="I44" s="40">
        <f>adm066051!I43+'gaas 04320'!I43+'Küte 043601'!I45+'küte 043602'!I43+'HV 052001'!I43+'HV 052003'!I43+'HV 052004'!I43+'JV 063001'!I43+'JV 063003'!I43+'JV 063004'!I43+'JV 063005'!I43+'JV 063006'!I43+'JV 063007'!I43+'El 064001'!I43+'EH 066011'!I43+MT066013!I43</f>
        <v>-329.98</v>
      </c>
      <c r="J44" s="40">
        <f>adm066051!J43+'gaas 04320'!J43+'Küte 043601'!J45+'küte 043602'!J43+'HV 052001'!J43+'HV 052003'!J43+'HV 052004'!J43+'JV 063001'!J43+'JV 063003'!J43+'JV 063004'!J43+'JV 063005'!J43+'JV 063006'!J43+'JV 063007'!J43+'El 064001'!J43+'EH 066011'!J43+MT066013!J43</f>
        <v>-12106</v>
      </c>
      <c r="K44" s="40">
        <f>adm066051!K43+'gaas 04320'!K43+'Küte 043601'!K45+'küte 043602'!K43+'HV 052001'!K43+'HV 052003'!K43+'HV 052004'!K43+'JV 063001'!K43+'JV 063003'!K43+'JV 063004'!K43+'JV 063005'!K43+'JV 063006'!K43+'JV 063007'!K43+'El 064001'!K43+'EH 066011'!K43+MT066013!K43</f>
        <v>-61153.91</v>
      </c>
      <c r="L44" s="40">
        <f>adm066051!L43+'gaas 04320'!L43+'Küte 043601'!L45+'küte 043602'!L43+'HV 052001'!L43+'HV 052003'!L43+'HV 052004'!L43+'JV 063001'!L43+'JV 063003'!L43+'JV 063004'!L43+'JV 063005'!L43+'JV 063006'!L43+'JV 063007'!L43+'El 064001'!L43+'EH 066011'!L43+MT066013!L43</f>
        <v>-280</v>
      </c>
      <c r="M44" s="40">
        <f>adm066051!M43+'gaas 04320'!M43+'Küte 043601'!M45+'küte 043602'!M43+'HV 052001'!M43+'HV 052003'!M43+'HV 052004'!M43+'JV 063001'!M43+'JV 063003'!M43+'JV 063004'!M43+'JV 063005'!M43+'JV 063006'!M43+'JV 063007'!M43+'El 064001'!M43+'EH 066011'!M43+MT066013!M43</f>
        <v>-2545</v>
      </c>
      <c r="N44" s="4">
        <f>adm066051!N43+'gaas 04320'!N43+'Küte 043601'!N45+'küte 043602'!N43+'HV 052001'!N43+'HV 052003'!N43+'HV 052004'!N43+'JV 063001'!N43+'JV 063003'!N43+'JV 063004'!N43+'JV 063005'!N43+'JV 063006'!N43+'JV 063007'!N43+'El 064001'!N43+'EH 066011'!N43+MT066013!N43</f>
        <v>-64780.93</v>
      </c>
      <c r="O44" s="4">
        <f>adm066051!O43+'gaas 04320'!O43+'Küte 043601'!O45+'küte 043602'!O43+'HV 052001'!O43+'HV 052003'!O43+'HV 052004'!O43+'JV 063001'!O43+'JV 063003'!O43+'JV 063004'!O43+'JV 063005'!O43+'JV 063006'!O43+'JV 063007'!O43+'El 064001'!O43+'EH 066011'!O43+MT066013!O43</f>
        <v>-3748</v>
      </c>
      <c r="P44" s="4">
        <f>adm066051!P43+'gaas 04320'!P43+'Küte 043601'!P45+'küte 043602'!P43+'HV 052001'!P43+'HV 052003'!P43+'HV 052004'!P43+'JV 063001'!P43+'JV 063003'!P43+'JV 063004'!P43+'JV 063005'!P43+'JV 063006'!P43+'JV 063007'!P43+'El 064001'!P43+'EH 066011'!P43+MT066013!P43</f>
        <v>-611</v>
      </c>
      <c r="Q44" s="4">
        <f>adm066051!Q43+'gaas 04320'!Q43+'Küte 043601'!Q45+'küte 043602'!Q43+'HV 052001'!Q43+'HV 052003'!Q43+'HV 052004'!Q43+'JV 063001'!Q43+'JV 063003'!Q43+'JV 063004'!Q43+'JV 063005'!Q43+'JV 063006'!Q43+'JV 063007'!Q43+'El 064001'!Q43+'EH 066011'!Q43+MT066013!Q43</f>
        <v>-102060</v>
      </c>
      <c r="R44" s="4">
        <f>adm066051!R43+'gaas 04320'!R43+'Küte 043601'!R45+'küte 043602'!R43+'HV 052001'!R43+'HV 052003'!R43+'HV 052004'!R43+'JV 063001'!R43+'JV 063003'!R43+'JV 063004'!R43+'JV 063005'!R43+'JV 063006'!R43+'JV 063007'!R43+'El 064001'!R43+'EH 066011'!R43+MT066013!R43</f>
        <v>-3415.87</v>
      </c>
      <c r="S44" s="4">
        <f>adm066051!S43+'gaas 04320'!S43+'Küte 043601'!S45+'küte 043602'!S43+'HV 052001'!S43+'HV 052003'!S43+'HV 052004'!S43+'JV 063001'!S43+'JV 063003'!S43+'JV 063004'!S43+'JV 063005'!S43+'JV 063006'!S43+'JV 063007'!S43+'El 064001'!S43+'EH 066011'!S43+MT066013!S43</f>
        <v>-16325</v>
      </c>
      <c r="T44" s="4">
        <f>adm066051!T43+'gaas 04320'!T43+'Küte 043601'!T45+'küte 043602'!T43+'HV 052001'!T43+'HV 052003'!T43+'HV 052004'!T43+'JV 063001'!T43+'JV 063003'!T43+'JV 063004'!T43+'JV 063005'!T43+'JV 063006'!T43+'JV 063007'!T43+'El 064001'!T43+'EH 066011'!T43+MT066013!T43</f>
        <v>-99234.51</v>
      </c>
    </row>
    <row r="45" spans="1:20" ht="12.75">
      <c r="A45" s="6" t="s">
        <v>34</v>
      </c>
      <c r="B45" s="6" t="s">
        <v>13</v>
      </c>
      <c r="C45" s="6" t="s">
        <v>16</v>
      </c>
      <c r="D45" s="6" t="s">
        <v>4</v>
      </c>
      <c r="E45" s="6" t="s">
        <v>52</v>
      </c>
      <c r="F45" s="4">
        <f>adm066051!F44+'gaas 04320'!F44+'Küte 043601'!F46+'küte 043602'!F44+'HV 052001'!F44+'HV 052003'!F44+'HV 052004'!F44+'JV 063001'!F44+'JV 063003'!F44+'JV 063004'!F44+'JV 063005'!F44+'JV 063006'!F44+'JV 063007'!F44+'El 064001'!F44+'EH 066011'!F44+MT066013!F44</f>
        <v>-578391.09</v>
      </c>
      <c r="G45" s="4">
        <f>adm066051!G44+'gaas 04320'!G44+'Küte 043601'!G46+'küte 043602'!G44+'HV 052001'!G44+'HV 052003'!G44+'HV 052004'!G44+'JV 063001'!G44+'JV 063003'!G44+'JV 063004'!G44+'JV 063005'!G44+'JV 063006'!G44+'JV 063007'!G44+'El 064001'!G44+'EH 066011'!G44+MT066013!G44</f>
        <v>-284326.72</v>
      </c>
      <c r="H45" s="7">
        <f t="shared" si="0"/>
        <v>-349231.91000000003</v>
      </c>
      <c r="I45" s="40">
        <f>adm066051!I44+'gaas 04320'!I44+'Küte 043601'!I46+'küte 043602'!I44+'HV 052001'!I44+'HV 052003'!I44+'HV 052004'!I44+'JV 063001'!I44+'JV 063003'!I44+'JV 063004'!I44+'JV 063005'!I44+'JV 063006'!I44+'JV 063007'!I44+'El 064001'!I44+'EH 066011'!I44+MT066013!I44</f>
        <v>-166</v>
      </c>
      <c r="J45" s="40">
        <f>adm066051!J44+'gaas 04320'!J44+'Küte 043601'!J46+'küte 043602'!J44+'HV 052001'!J44+'HV 052003'!J44+'HV 052004'!J44+'JV 063001'!J44+'JV 063003'!J44+'JV 063004'!J44+'JV 063005'!J44+'JV 063006'!J44+'JV 063007'!J44+'El 064001'!J44+'EH 066011'!J44+MT066013!J44</f>
        <v>-12106</v>
      </c>
      <c r="K45" s="40">
        <f>adm066051!K44+'gaas 04320'!K44+'Küte 043601'!K46+'küte 043602'!K44+'HV 052001'!K44+'HV 052003'!K44+'HV 052004'!K44+'JV 063001'!K44+'JV 063003'!K44+'JV 063004'!K44+'JV 063005'!K44+'JV 063006'!K44+'JV 063007'!K44+'El 064001'!K44+'EH 066011'!K44+MT066013!K44</f>
        <v>-61153.91</v>
      </c>
      <c r="L45" s="40">
        <f>adm066051!L44+'gaas 04320'!L44+'Küte 043601'!L46+'küte 043602'!L44+'HV 052001'!L44+'HV 052003'!L44+'HV 052004'!L44+'JV 063001'!L44+'JV 063003'!L44+'JV 063004'!L44+'JV 063005'!L44+'JV 063006'!L44+'JV 063007'!L44+'El 064001'!L44+'EH 066011'!L44+MT066013!L44</f>
        <v>-280</v>
      </c>
      <c r="M45" s="40">
        <f>adm066051!M44+'gaas 04320'!M44+'Küte 043601'!M46+'küte 043602'!M44+'HV 052001'!M44+'HV 052003'!M44+'HV 052004'!M44+'JV 063001'!M44+'JV 063003'!M44+'JV 063004'!M44+'JV 063005'!M44+'JV 063006'!M44+'JV 063007'!M44+'El 064001'!M44+'EH 066011'!M44+MT066013!M44</f>
        <v>-2545</v>
      </c>
      <c r="N45" s="4">
        <f>adm066051!N44+'gaas 04320'!N44+'Küte 043601'!N46+'küte 043602'!N44+'HV 052001'!N44+'HV 052003'!N44+'HV 052004'!N44+'JV 063001'!N44+'JV 063003'!N44+'JV 063004'!N44+'JV 063005'!N44+'JV 063006'!N44+'JV 063007'!N44+'El 064001'!N44+'EH 066011'!N44+MT066013!N44</f>
        <v>-63757.99999999999</v>
      </c>
      <c r="O45" s="4">
        <f>adm066051!O44+'gaas 04320'!O44+'Küte 043601'!O46+'küte 043602'!O44+'HV 052001'!O44+'HV 052003'!O44+'HV 052004'!O44+'JV 063001'!O44+'JV 063003'!O44+'JV 063004'!O44+'JV 063005'!O44+'JV 063006'!O44+'JV 063007'!O44+'El 064001'!O44+'EH 066011'!O44+MT066013!O44</f>
        <v>-3748</v>
      </c>
      <c r="P45" s="4">
        <f>adm066051!P44+'gaas 04320'!P44+'Küte 043601'!P46+'küte 043602'!P44+'HV 052001'!P44+'HV 052003'!P44+'HV 052004'!P44+'JV 063001'!P44+'JV 063003'!P44+'JV 063004'!P44+'JV 063005'!P44+'JV 063006'!P44+'JV 063007'!P44+'El 064001'!P44+'EH 066011'!P44+MT066013!P44</f>
        <v>-611</v>
      </c>
      <c r="Q45" s="4">
        <f>adm066051!Q44+'gaas 04320'!Q44+'Küte 043601'!Q46+'küte 043602'!Q44+'HV 052001'!Q44+'HV 052003'!Q44+'HV 052004'!Q44+'JV 063001'!Q44+'JV 063003'!Q44+'JV 063004'!Q44+'JV 063005'!Q44+'JV 063006'!Q44+'JV 063007'!Q44+'El 064001'!Q44+'EH 066011'!Q44+MT066013!Q44</f>
        <v>-102060</v>
      </c>
      <c r="R45" s="4">
        <f>adm066051!R44+'gaas 04320'!R44+'Küte 043601'!R46+'küte 043602'!R44+'HV 052001'!R44+'HV 052003'!R44+'HV 052004'!R44+'JV 063001'!R44+'JV 063003'!R44+'JV 063004'!R44+'JV 063005'!R44+'JV 063006'!R44+'JV 063007'!R44+'El 064001'!R44+'EH 066011'!R44+MT066013!R44</f>
        <v>-2599</v>
      </c>
      <c r="S45" s="4">
        <f>adm066051!S44+'gaas 04320'!S44+'Küte 043601'!S46+'küte 043602'!S44+'HV 052001'!S44+'HV 052003'!S44+'HV 052004'!S44+'JV 063001'!S44+'JV 063003'!S44+'JV 063004'!S44+'JV 063005'!S44+'JV 063006'!S44+'JV 063007'!S44+'El 064001'!S44+'EH 066011'!S44+MT066013!S44</f>
        <v>-16325</v>
      </c>
      <c r="T45" s="4">
        <f>adm066051!T44+'gaas 04320'!T44+'Küte 043601'!T46+'küte 043602'!T44+'HV 052001'!T44+'HV 052003'!T44+'HV 052004'!T44+'JV 063001'!T44+'JV 063003'!T44+'JV 063004'!T44+'JV 063005'!T44+'JV 063006'!T44+'JV 063007'!T44+'El 064001'!T44+'EH 066011'!T44+MT066013!T44</f>
        <v>-83880.00000000001</v>
      </c>
    </row>
    <row r="46" spans="1:20" ht="12.75">
      <c r="A46" s="12" t="s">
        <v>34</v>
      </c>
      <c r="B46" s="12" t="s">
        <v>13</v>
      </c>
      <c r="C46" s="12" t="s">
        <v>16</v>
      </c>
      <c r="D46" s="12" t="s">
        <v>13</v>
      </c>
      <c r="E46" s="12" t="s">
        <v>53</v>
      </c>
      <c r="F46" s="4">
        <f>adm066051!F45+'gaas 04320'!F45+'Küte 043601'!F47+'küte 043602'!F45+'HV 052001'!F45+'HV 052003'!F45+'HV 052004'!F45+'JV 063001'!F45+'JV 063003'!F45+'JV 063004'!F45+'JV 063005'!F45+'JV 063006'!F45+'JV 063007'!F45+'El 064001'!F45+'EH 066011'!F45+MT066013!F45</f>
        <v>-578391.09</v>
      </c>
      <c r="G46" s="4">
        <f>adm066051!G45+'gaas 04320'!G45+'Küte 043601'!G47+'küte 043602'!G45+'HV 052001'!G45+'HV 052003'!G45+'HV 052004'!G45+'JV 063001'!G45+'JV 063003'!G45+'JV 063004'!G45+'JV 063005'!G45+'JV 063006'!G45+'JV 063007'!G45+'El 064001'!G45+'EH 066011'!G45+MT066013!G45</f>
        <v>-284326.72</v>
      </c>
      <c r="H46" s="10">
        <f t="shared" si="0"/>
        <v>-349231.91000000003</v>
      </c>
      <c r="I46" s="38">
        <f>adm066051!I45+'gaas 04320'!I45+'Küte 043601'!I47+'küte 043602'!I45+'HV 052001'!I45+'HV 052003'!I45+'HV 052004'!I45+'JV 063001'!I45+'JV 063003'!I45+'JV 063004'!I45+'JV 063005'!I45+'JV 063006'!I45+'JV 063007'!I45+'El 064001'!I45+'EH 066011'!I45+MT066013!I45</f>
        <v>-166</v>
      </c>
      <c r="J46" s="38">
        <f>adm066051!J45+'gaas 04320'!J45+'Küte 043601'!J47+'küte 043602'!J45+'HV 052001'!J45+'HV 052003'!J45+'HV 052004'!J45+'JV 063001'!J45+'JV 063003'!J45+'JV 063004'!J45+'JV 063005'!J45+'JV 063006'!J45+'JV 063007'!J45+'El 064001'!J45+'EH 066011'!J45+MT066013!J45</f>
        <v>-12106</v>
      </c>
      <c r="K46" s="38">
        <f>adm066051!K45+'gaas 04320'!K45+'Küte 043601'!K47+'küte 043602'!K45+'HV 052001'!K45+'HV 052003'!K45+'HV 052004'!K45+'JV 063001'!K45+'JV 063003'!K45+'JV 063004'!K45+'JV 063005'!K45+'JV 063006'!K45+'JV 063007'!K45+'El 064001'!K45+'EH 066011'!K45+MT066013!K45</f>
        <v>-61153.91</v>
      </c>
      <c r="L46" s="38">
        <f>adm066051!L45+'gaas 04320'!L45+'Küte 043601'!L47+'küte 043602'!L45+'HV 052001'!L45+'HV 052003'!L45+'HV 052004'!L45+'JV 063001'!L45+'JV 063003'!L45+'JV 063004'!L45+'JV 063005'!L45+'JV 063006'!L45+'JV 063007'!L45+'El 064001'!L45+'EH 066011'!L45+MT066013!L45</f>
        <v>-280</v>
      </c>
      <c r="M46" s="38">
        <f>adm066051!M45+'gaas 04320'!M45+'Küte 043601'!M47+'küte 043602'!M45+'HV 052001'!M45+'HV 052003'!M45+'HV 052004'!M45+'JV 063001'!M45+'JV 063003'!M45+'JV 063004'!M45+'JV 063005'!M45+'JV 063006'!M45+'JV 063007'!M45+'El 064001'!M45+'EH 066011'!M45+MT066013!M45</f>
        <v>-2545</v>
      </c>
      <c r="N46" s="13">
        <f>adm066051!N45+'gaas 04320'!N45+'Küte 043601'!N47+'küte 043602'!N45+'HV 052001'!N45+'HV 052003'!N45+'HV 052004'!N45+'JV 063001'!N45+'JV 063003'!N45+'JV 063004'!N45+'JV 063005'!N45+'JV 063006'!N45+'JV 063007'!N45+'El 064001'!N45+'EH 066011'!N45+MT066013!N45</f>
        <v>-63757.99999999999</v>
      </c>
      <c r="O46" s="13">
        <f>adm066051!O45+'gaas 04320'!O45+'Küte 043601'!O47+'küte 043602'!O45+'HV 052001'!O45+'HV 052003'!O45+'HV 052004'!O45+'JV 063001'!O45+'JV 063003'!O45+'JV 063004'!O45+'JV 063005'!O45+'JV 063006'!O45+'JV 063007'!O45+'El 064001'!O45+'EH 066011'!O45+MT066013!O45</f>
        <v>-3748</v>
      </c>
      <c r="P46" s="13">
        <f>adm066051!P45+'gaas 04320'!P45+'Küte 043601'!P47+'küte 043602'!P45+'HV 052001'!P45+'HV 052003'!P45+'HV 052004'!P45+'JV 063001'!P45+'JV 063003'!P45+'JV 063004'!P45+'JV 063005'!P45+'JV 063006'!P45+'JV 063007'!P45+'El 064001'!P45+'EH 066011'!P45+MT066013!P45</f>
        <v>-611</v>
      </c>
      <c r="Q46" s="13">
        <f>adm066051!Q45+'gaas 04320'!Q45+'Küte 043601'!Q47+'küte 043602'!Q45+'HV 052001'!Q45+'HV 052003'!Q45+'HV 052004'!Q45+'JV 063001'!Q45+'JV 063003'!Q45+'JV 063004'!Q45+'JV 063005'!Q45+'JV 063006'!Q45+'JV 063007'!Q45+'El 064001'!Q45+'EH 066011'!Q45+MT066013!Q45</f>
        <v>-102060</v>
      </c>
      <c r="R46" s="13">
        <f>adm066051!R45+'gaas 04320'!R45+'Küte 043601'!R47+'küte 043602'!R45+'HV 052001'!R45+'HV 052003'!R45+'HV 052004'!R45+'JV 063001'!R45+'JV 063003'!R45+'JV 063004'!R45+'JV 063005'!R45+'JV 063006'!R45+'JV 063007'!R45+'El 064001'!R45+'EH 066011'!R45+MT066013!R45</f>
        <v>-2599</v>
      </c>
      <c r="S46" s="13">
        <f>adm066051!S45+'gaas 04320'!S45+'Küte 043601'!S47+'küte 043602'!S45+'HV 052001'!S45+'HV 052003'!S45+'HV 052004'!S45+'JV 063001'!S45+'JV 063003'!S45+'JV 063004'!S45+'JV 063005'!S45+'JV 063006'!S45+'JV 063007'!S45+'El 064001'!S45+'EH 066011'!S45+MT066013!S45</f>
        <v>-16325</v>
      </c>
      <c r="T46" s="13">
        <f>adm066051!T45+'gaas 04320'!T45+'Küte 043601'!T47+'küte 043602'!T45+'HV 052001'!T45+'HV 052003'!T45+'HV 052004'!T45+'JV 063001'!T45+'JV 063003'!T45+'JV 063004'!T45+'JV 063005'!T45+'JV 063006'!T45+'JV 063007'!T45+'El 064001'!T45+'EH 066011'!T45+MT066013!T45</f>
        <v>-83880.00000000001</v>
      </c>
    </row>
    <row r="47" spans="1:20" ht="12.75">
      <c r="A47" s="14" t="s">
        <v>34</v>
      </c>
      <c r="B47" s="14" t="s">
        <v>13</v>
      </c>
      <c r="C47" s="14">
        <v>5</v>
      </c>
      <c r="D47" s="14"/>
      <c r="E47" s="14" t="s">
        <v>54</v>
      </c>
      <c r="F47" s="4">
        <f>adm066051!F46+'gaas 04320'!F46+'Küte 043601'!F48+'küte 043602'!F46+'HV 052001'!F46+'HV 052003'!F46+'HV 052004'!F46+'JV 063001'!F46+'JV 063003'!F46+'JV 063004'!F46+'JV 063005'!F46+'JV 063006'!F46+'JV 063007'!F46+'El 064001'!F46+'EH 066011'!F46+MT066013!F46</f>
        <v>6800.6</v>
      </c>
      <c r="G47" s="4">
        <f>adm066051!G46+'gaas 04320'!G46+'Küte 043601'!G48+'küte 043602'!G46+'HV 052001'!G46+'HV 052003'!G46+'HV 052004'!G46+'JV 063001'!G46+'JV 063003'!G46+'JV 063004'!G46+'JV 063005'!G46+'JV 063006'!G46+'JV 063007'!G46+'El 064001'!G46+'EH 066011'!G46+MT066013!G46</f>
        <v>-11361.09</v>
      </c>
      <c r="H47" s="7">
        <f t="shared" si="0"/>
        <v>-13554.26</v>
      </c>
      <c r="I47" s="42">
        <f>adm066051!I46+'gaas 04320'!I46+'Küte 043601'!I48+'küte 043602'!I46+'HV 052001'!I46+'HV 052003'!I46+'HV 052004'!I46+'JV 063001'!I46+'JV 063003'!I46+'JV 063004'!I46+'JV 063005'!I46+'JV 063006'!I46+'JV 063007'!I46+'El 064001'!I46+'EH 066011'!I46+MT066013!I46</f>
        <v>0</v>
      </c>
      <c r="J47" s="42">
        <f>adm066051!J46+'gaas 04320'!J46+'Küte 043601'!J48+'küte 043602'!J46+'HV 052001'!J46+'HV 052003'!J46+'HV 052004'!J46+'JV 063001'!J46+'JV 063003'!J46+'JV 063004'!J46+'JV 063005'!J46+'JV 063006'!J46+'JV 063007'!J46+'El 064001'!J46+'EH 066011'!J46+MT066013!J46</f>
        <v>0</v>
      </c>
      <c r="K47" s="42">
        <f>adm066051!K46+'gaas 04320'!K46+'Küte 043601'!K48+'küte 043602'!K46+'HV 052001'!K46+'HV 052003'!K46+'HV 052004'!K46+'JV 063001'!K46+'JV 063003'!K46+'JV 063004'!K46+'JV 063005'!K46+'JV 063006'!K46+'JV 063007'!K46+'El 064001'!K46+'EH 066011'!K46+MT066013!K46</f>
        <v>0</v>
      </c>
      <c r="L47" s="42">
        <f>adm066051!L46+'gaas 04320'!L46+'Küte 043601'!L48+'küte 043602'!L46+'HV 052001'!L46+'HV 052003'!L46+'HV 052004'!L46+'JV 063001'!L46+'JV 063003'!L46+'JV 063004'!L46+'JV 063005'!L46+'JV 063006'!L46+'JV 063007'!L46+'El 064001'!L46+'EH 066011'!L46+MT066013!L46</f>
        <v>0</v>
      </c>
      <c r="M47" s="42">
        <f>adm066051!M46+'gaas 04320'!M46+'Küte 043601'!M48+'küte 043602'!M46+'HV 052001'!M46+'HV 052003'!M46+'HV 052004'!M46+'JV 063001'!M46+'JV 063003'!M46+'JV 063004'!M46+'JV 063005'!M46+'JV 063006'!M46+'JV 063007'!M46+'El 064001'!M46+'EH 066011'!M46+MT066013!M46</f>
        <v>0</v>
      </c>
      <c r="N47" s="15">
        <f>adm066051!N46+'gaas 04320'!N46+'Küte 043601'!N48+'küte 043602'!N46+'HV 052001'!N46+'HV 052003'!N46+'HV 052004'!N46+'JV 063001'!N46+'JV 063003'!N46+'JV 063004'!N46+'JV 063005'!N46+'JV 063006'!N46+'JV 063007'!N46+'El 064001'!N46+'EH 066011'!N46+MT066013!N46</f>
        <v>0</v>
      </c>
      <c r="O47" s="15">
        <f>adm066051!O46+'gaas 04320'!O46+'Küte 043601'!O48+'küte 043602'!O46+'HV 052001'!O46+'HV 052003'!O46+'HV 052004'!O46+'JV 063001'!O46+'JV 063003'!O46+'JV 063004'!O46+'JV 063005'!O46+'JV 063006'!O46+'JV 063007'!O46+'El 064001'!O46+'EH 066011'!O46+MT066013!O46</f>
        <v>0</v>
      </c>
      <c r="P47" s="15">
        <f>adm066051!P46+'gaas 04320'!P46+'Küte 043601'!P48+'küte 043602'!P46+'HV 052001'!P46+'HV 052003'!P46+'HV 052004'!P46+'JV 063001'!P46+'JV 063003'!P46+'JV 063004'!P46+'JV 063005'!P46+'JV 063006'!P46+'JV 063007'!P46+'El 064001'!P46+'EH 066011'!P46+MT066013!P46</f>
        <v>0</v>
      </c>
      <c r="Q47" s="15">
        <f>adm066051!Q46+'gaas 04320'!Q46+'Küte 043601'!Q48+'küte 043602'!Q46+'HV 052001'!Q46+'HV 052003'!Q46+'HV 052004'!Q46+'JV 063001'!Q46+'JV 063003'!Q46+'JV 063004'!Q46+'JV 063005'!Q46+'JV 063006'!Q46+'JV 063007'!Q46+'El 064001'!Q46+'EH 066011'!Q46+MT066013!Q46</f>
        <v>0</v>
      </c>
      <c r="R47" s="15">
        <f>adm066051!R46+'gaas 04320'!R46+'Küte 043601'!R48+'küte 043602'!R46+'HV 052001'!R46+'HV 052003'!R46+'HV 052004'!R46+'JV 063001'!R46+'JV 063003'!R46+'JV 063004'!R46+'JV 063005'!R46+'JV 063006'!R46+'JV 063007'!R46+'El 064001'!R46+'EH 066011'!R46+MT066013!R46</f>
        <v>0</v>
      </c>
      <c r="S47" s="15">
        <f>adm066051!S46+'gaas 04320'!S46+'Küte 043601'!S48+'küte 043602'!S46+'HV 052001'!S46+'HV 052003'!S46+'HV 052004'!S46+'JV 063001'!S46+'JV 063003'!S46+'JV 063004'!S46+'JV 063005'!S46+'JV 063006'!S46+'JV 063007'!S46+'El 064001'!S46+'EH 066011'!S46+MT066013!S46</f>
        <v>0</v>
      </c>
      <c r="T47" s="15">
        <f>adm066051!T46+'gaas 04320'!T46+'Küte 043601'!T48+'küte 043602'!T46+'HV 052001'!T46+'HV 052003'!T46+'HV 052004'!T46+'JV 063001'!T46+'JV 063003'!T46+'JV 063004'!T46+'JV 063005'!T46+'JV 063006'!T46+'JV 063007'!T46+'El 064001'!T46+'EH 066011'!T46+MT066013!T46</f>
        <v>-13554.26</v>
      </c>
    </row>
    <row r="48" spans="1:20" ht="12.75">
      <c r="A48" s="14">
        <v>6</v>
      </c>
      <c r="B48" s="14">
        <v>0</v>
      </c>
      <c r="C48" s="14">
        <v>8</v>
      </c>
      <c r="D48" s="14"/>
      <c r="E48" s="14" t="s">
        <v>105</v>
      </c>
      <c r="F48" s="4">
        <f>adm066051!F47+'gaas 04320'!F47+'Küte 043601'!F49+'küte 043602'!F47+'HV 052001'!F47+'HV 052003'!F47+'HV 052004'!F47+'JV 063001'!F47+'JV 063003'!F47+'JV 063004'!F47+'JV 063005'!F47+'JV 063006'!F47+'JV 063007'!F47+'El 064001'!F47+'EH 066011'!F47+MT066013!F47</f>
        <v>0</v>
      </c>
      <c r="G48" s="4">
        <f>adm066051!G47+'gaas 04320'!G47+'Küte 043601'!G49+'küte 043602'!G47+'HV 052001'!G47+'HV 052003'!G47+'HV 052004'!G47+'JV 063001'!G47+'JV 063003'!G47+'JV 063004'!G47+'JV 063005'!G47+'JV 063006'!G47+'JV 063007'!G47+'El 064001'!G47+'EH 066011'!G47+MT066013!G47</f>
        <v>0</v>
      </c>
      <c r="H48" s="7">
        <f t="shared" si="0"/>
        <v>-3804.0299999999997</v>
      </c>
      <c r="I48" s="42">
        <f>adm066051!I47+'gaas 04320'!I47+'Küte 043601'!I49+'küte 043602'!I47+'HV 052001'!I47+'HV 052003'!I47+'HV 052004'!I47+'JV 063001'!I47+'JV 063003'!I47+'JV 063004'!I47+'JV 063005'!I47+'JV 063006'!I47+'JV 063007'!I47+'El 064001'!I47+'EH 066011'!I47+MT066013!I47</f>
        <v>-163.98</v>
      </c>
      <c r="J48" s="42">
        <f>adm066051!J47+'gaas 04320'!J47+'Küte 043601'!J49+'küte 043602'!J47+'HV 052001'!J47+'HV 052003'!J47+'HV 052004'!J47+'JV 063001'!J47+'JV 063003'!J47+'JV 063004'!J47+'JV 063005'!J47+'JV 063006'!J47+'JV 063007'!J47+'El 064001'!J47+'EH 066011'!J47+MT066013!J47</f>
        <v>0</v>
      </c>
      <c r="K48" s="42">
        <f>adm066051!K47+'gaas 04320'!K47+'Küte 043601'!K49+'küte 043602'!K47+'HV 052001'!K47+'HV 052003'!K47+'HV 052004'!K47+'JV 063001'!K47+'JV 063003'!K47+'JV 063004'!K47+'JV 063005'!K47+'JV 063006'!K47+'JV 063007'!K47+'El 064001'!K47+'EH 066011'!K47+MT066013!K47</f>
        <v>0</v>
      </c>
      <c r="L48" s="42">
        <f>adm066051!L47+'gaas 04320'!L47+'Küte 043601'!L49+'küte 043602'!L47+'HV 052001'!L47+'HV 052003'!L47+'HV 052004'!L47+'JV 063001'!L47+'JV 063003'!L47+'JV 063004'!L47+'JV 063005'!L47+'JV 063006'!L47+'JV 063007'!L47+'El 064001'!L47+'EH 066011'!L47+MT066013!L47</f>
        <v>0</v>
      </c>
      <c r="M48" s="42">
        <f>adm066051!M47+'gaas 04320'!M47+'Küte 043601'!M49+'küte 043602'!M47+'HV 052001'!M47+'HV 052003'!M47+'HV 052004'!M47+'JV 063001'!M47+'JV 063003'!M47+'JV 063004'!M47+'JV 063005'!M47+'JV 063006'!M47+'JV 063007'!M47+'El 064001'!M47+'EH 066011'!M47+MT066013!M47</f>
        <v>0</v>
      </c>
      <c r="N48" s="15">
        <f>adm066051!N47+'gaas 04320'!N47+'Küte 043601'!N49+'küte 043602'!N47+'HV 052001'!N47+'HV 052003'!N47+'HV 052004'!N47+'JV 063001'!N47+'JV 063003'!N47+'JV 063004'!N47+'JV 063005'!N47+'JV 063006'!N47+'JV 063007'!N47+'El 064001'!N47+'EH 066011'!N47+MT066013!N47</f>
        <v>-1022.93</v>
      </c>
      <c r="O48" s="15">
        <f>adm066051!O47+'gaas 04320'!O47+'Küte 043601'!O49+'küte 043602'!O47+'HV 052001'!O47+'HV 052003'!O47+'HV 052004'!O47+'JV 063001'!O47+'JV 063003'!O47+'JV 063004'!O47+'JV 063005'!O47+'JV 063006'!O47+'JV 063007'!O47+'El 064001'!O47+'EH 066011'!O47+MT066013!O47</f>
        <v>0</v>
      </c>
      <c r="P48" s="15">
        <f>adm066051!P47+'gaas 04320'!P47+'Küte 043601'!P49+'küte 043602'!P47+'HV 052001'!P47+'HV 052003'!P47+'HV 052004'!P47+'JV 063001'!P47+'JV 063003'!P47+'JV 063004'!P47+'JV 063005'!P47+'JV 063006'!P47+'JV 063007'!P47+'El 064001'!P47+'EH 066011'!P47+MT066013!P47</f>
        <v>0</v>
      </c>
      <c r="Q48" s="15">
        <f>adm066051!Q47+'gaas 04320'!Q47+'Küte 043601'!Q49+'küte 043602'!Q47+'HV 052001'!Q47+'HV 052003'!Q47+'HV 052004'!Q47+'JV 063001'!Q47+'JV 063003'!Q47+'JV 063004'!Q47+'JV 063005'!Q47+'JV 063006'!Q47+'JV 063007'!Q47+'El 064001'!Q47+'EH 066011'!Q47+MT066013!Q47</f>
        <v>0</v>
      </c>
      <c r="R48" s="15">
        <f>adm066051!R47+'gaas 04320'!R47+'Küte 043601'!R49+'küte 043602'!R47+'HV 052001'!R47+'HV 052003'!R47+'HV 052004'!R47+'JV 063001'!R47+'JV 063003'!R47+'JV 063004'!R47+'JV 063005'!R47+'JV 063006'!R47+'JV 063007'!R47+'El 064001'!R47+'EH 066011'!R47+MT066013!R47</f>
        <v>-816.87</v>
      </c>
      <c r="S48" s="15">
        <f>adm066051!S47+'gaas 04320'!S47+'Küte 043601'!S49+'küte 043602'!S47+'HV 052001'!S47+'HV 052003'!S47+'HV 052004'!S47+'JV 063001'!S47+'JV 063003'!S47+'JV 063004'!S47+'JV 063005'!S47+'JV 063006'!S47+'JV 063007'!S47+'El 064001'!S47+'EH 066011'!S47+MT066013!S47</f>
        <v>0</v>
      </c>
      <c r="T48" s="15">
        <f>adm066051!T47+'gaas 04320'!T47+'Küte 043601'!T49+'küte 043602'!T47+'HV 052001'!T47+'HV 052003'!T47+'HV 052004'!T47+'JV 063001'!T47+'JV 063003'!T47+'JV 063004'!T47+'JV 063005'!T47+'JV 063006'!T47+'JV 063007'!T47+'El 064001'!T47+'EH 066011'!T47+MT066013!T47</f>
        <v>-1800.25</v>
      </c>
    </row>
    <row r="49" spans="1:20" ht="12.75">
      <c r="A49" s="6" t="s">
        <v>34</v>
      </c>
      <c r="B49" s="6" t="s">
        <v>16</v>
      </c>
      <c r="C49" s="6" t="s">
        <v>4</v>
      </c>
      <c r="D49" s="6" t="s">
        <v>4</v>
      </c>
      <c r="E49" s="6" t="s">
        <v>55</v>
      </c>
      <c r="F49" s="4">
        <f>adm066051!F48+'gaas 04320'!F48+'Küte 043601'!F50+'küte 043602'!F48+'HV 052001'!F48+'HV 052003'!F48+'HV 052004'!F48+'JV 063001'!F48+'JV 063003'!F48+'JV 063004'!F48+'JV 063005'!F48+'JV 063006'!F48+'JV 063007'!F48+'El 064001'!F48+'EH 066011'!F48+MT066013!F48</f>
        <v>-1685783.02</v>
      </c>
      <c r="G49" s="4">
        <f>adm066051!G48+'gaas 04320'!G48+'Küte 043601'!G50+'küte 043602'!G48+'HV 052001'!G48+'HV 052003'!G48+'HV 052004'!G48+'JV 063001'!G48+'JV 063003'!G48+'JV 063004'!G48+'JV 063005'!G48+'JV 063006'!G48+'JV 063007'!G48+'El 064001'!G48+'EH 066011'!G48+MT066013!G48</f>
        <v>-1916356.49</v>
      </c>
      <c r="H49" s="7">
        <f t="shared" si="0"/>
        <v>-2506241.91</v>
      </c>
      <c r="I49" s="40">
        <f>adm066051!I48+'gaas 04320'!I48+'Küte 043601'!I50+'küte 043602'!I48+'HV 052001'!I48+'HV 052003'!I48+'HV 052004'!I48+'JV 063001'!I48+'JV 063003'!I48+'JV 063004'!I48+'JV 063005'!I48+'JV 063006'!I48+'JV 063007'!I48+'El 064001'!I48+'EH 066011'!I48+MT066013!I48</f>
        <v>-200813</v>
      </c>
      <c r="J49" s="40">
        <f>adm066051!J48+'gaas 04320'!J48+'Küte 043601'!J50+'küte 043602'!J48+'HV 052001'!J48+'HV 052003'!J48+'HV 052004'!J48+'JV 063001'!J48+'JV 063003'!J48+'JV 063004'!J48+'JV 063005'!J48+'JV 063006'!J48+'JV 063007'!J48+'El 064001'!J48+'EH 066011'!J48+MT066013!J48</f>
        <v>-200899</v>
      </c>
      <c r="K49" s="40">
        <f>adm066051!K48+'gaas 04320'!K48+'Küte 043601'!K50+'küte 043602'!K48+'HV 052001'!K48+'HV 052003'!K48+'HV 052004'!K48+'JV 063001'!K48+'JV 063003'!K48+'JV 063004'!K48+'JV 063005'!K48+'JV 063006'!K48+'JV 063007'!K48+'El 064001'!K48+'EH 066011'!K48+MT066013!K48</f>
        <v>-200913</v>
      </c>
      <c r="L49" s="40">
        <f>adm066051!L48+'gaas 04320'!L48+'Küte 043601'!L50+'küte 043602'!L48+'HV 052001'!L48+'HV 052003'!L48+'HV 052004'!L48+'JV 063001'!L48+'JV 063003'!L48+'JV 063004'!L48+'JV 063005'!L48+'JV 063006'!L48+'JV 063007'!L48+'El 064001'!L48+'EH 066011'!L48+MT066013!L48</f>
        <v>-203734</v>
      </c>
      <c r="M49" s="40">
        <f>adm066051!M48+'gaas 04320'!M48+'Küte 043601'!M50+'küte 043602'!M48+'HV 052001'!M48+'HV 052003'!M48+'HV 052004'!M48+'JV 063001'!M48+'JV 063003'!M48+'JV 063004'!M48+'JV 063005'!M48+'JV 063006'!M48+'JV 063007'!M48+'El 064001'!M48+'EH 066011'!M48+MT066013!M48</f>
        <v>-203744</v>
      </c>
      <c r="N49" s="4">
        <f>adm066051!N48+'gaas 04320'!N48+'Küte 043601'!N50+'küte 043602'!N48+'HV 052001'!N48+'HV 052003'!N48+'HV 052004'!N48+'JV 063001'!N48+'JV 063003'!N48+'JV 063004'!N48+'JV 063005'!N48+'JV 063006'!N48+'JV 063007'!N48+'El 064001'!N48+'EH 066011'!N48+MT066013!N48</f>
        <v>-204431</v>
      </c>
      <c r="O49" s="4">
        <f>adm066051!O48+'gaas 04320'!O48+'Küte 043601'!O50+'küte 043602'!O48+'HV 052001'!O48+'HV 052003'!O48+'HV 052004'!O48+'JV 063001'!O48+'JV 063003'!O48+'JV 063004'!O48+'JV 063005'!O48+'JV 063006'!O48+'JV 063007'!O48+'El 064001'!O48+'EH 066011'!O48+MT066013!O48</f>
        <v>-204405</v>
      </c>
      <c r="P49" s="4">
        <f>adm066051!P48+'gaas 04320'!P48+'Küte 043601'!P50+'küte 043602'!P48+'HV 052001'!P48+'HV 052003'!P48+'HV 052004'!P48+'JV 063001'!P48+'JV 063003'!P48+'JV 063004'!P48+'JV 063005'!P48+'JV 063006'!P48+'JV 063007'!P48+'El 064001'!P48+'EH 066011'!P48+MT066013!P48</f>
        <v>-218821</v>
      </c>
      <c r="Q49" s="4">
        <f>adm066051!Q48+'gaas 04320'!Q48+'Küte 043601'!Q50+'küte 043602'!Q48+'HV 052001'!Q48+'HV 052003'!Q48+'HV 052004'!Q48+'JV 063001'!Q48+'JV 063003'!Q48+'JV 063004'!Q48+'JV 063005'!Q48+'JV 063006'!Q48+'JV 063007'!Q48+'El 064001'!Q48+'EH 066011'!Q48+MT066013!Q48</f>
        <v>-219023</v>
      </c>
      <c r="R49" s="4">
        <f>adm066051!R48+'gaas 04320'!R48+'Küte 043601'!R50+'küte 043602'!R48+'HV 052001'!R48+'HV 052003'!R48+'HV 052004'!R48+'JV 063001'!R48+'JV 063003'!R48+'JV 063004'!R48+'JV 063005'!R48+'JV 063006'!R48+'JV 063007'!R48+'El 064001'!R48+'EH 066011'!R48+MT066013!R48</f>
        <v>-212863</v>
      </c>
      <c r="S49" s="4">
        <f>adm066051!S48+'gaas 04320'!S48+'Küte 043601'!S50+'küte 043602'!S48+'HV 052001'!S48+'HV 052003'!S48+'HV 052004'!S48+'JV 063001'!S48+'JV 063003'!S48+'JV 063004'!S48+'JV 063005'!S48+'JV 063006'!S48+'JV 063007'!S48+'El 064001'!S48+'EH 066011'!S48+MT066013!S48</f>
        <v>-212857</v>
      </c>
      <c r="T49" s="4">
        <f>adm066051!T48+'gaas 04320'!T48+'Küte 043601'!T50+'küte 043602'!T48+'HV 052001'!T48+'HV 052003'!T48+'HV 052004'!T48+'JV 063001'!T48+'JV 063003'!T48+'JV 063004'!T48+'JV 063005'!T48+'JV 063006'!T48+'JV 063007'!T48+'El 064001'!T48+'EH 066011'!T48+MT066013!T48</f>
        <v>-223738.91</v>
      </c>
    </row>
    <row r="50" spans="1:20" ht="12.75">
      <c r="A50" s="6" t="s">
        <v>34</v>
      </c>
      <c r="B50" s="6" t="s">
        <v>16</v>
      </c>
      <c r="C50" s="6" t="s">
        <v>16</v>
      </c>
      <c r="D50" s="6" t="s">
        <v>4</v>
      </c>
      <c r="E50" s="6" t="s">
        <v>56</v>
      </c>
      <c r="F50" s="4">
        <f>adm066051!F49+'gaas 04320'!F49+'Küte 043601'!F51+'küte 043602'!F49+'HV 052001'!F49+'HV 052003'!F49+'HV 052004'!F49+'JV 063001'!F49+'JV 063003'!F49+'JV 063004'!F49+'JV 063005'!F49+'JV 063006'!F49+'JV 063007'!F49+'El 064001'!F49+'EH 066011'!F49+MT066013!F49</f>
        <v>-1681583.02</v>
      </c>
      <c r="G50" s="4">
        <f>adm066051!G49+'gaas 04320'!G49+'Küte 043601'!G51+'küte 043602'!G49+'HV 052001'!G49+'HV 052003'!G49+'HV 052004'!G49+'JV 063001'!G49+'JV 063003'!G49+'JV 063004'!G49+'JV 063005'!G49+'JV 063006'!G49+'JV 063007'!G49+'El 064001'!G49+'EH 066011'!G49+MT066013!G49</f>
        <v>-1916356.49</v>
      </c>
      <c r="H50" s="7">
        <f t="shared" si="0"/>
        <v>-2506241.91</v>
      </c>
      <c r="I50" s="40">
        <f>adm066051!I49+'gaas 04320'!I49+'Küte 043601'!I51+'küte 043602'!I49+'HV 052001'!I49+'HV 052003'!I49+'HV 052004'!I49+'JV 063001'!I49+'JV 063003'!I49+'JV 063004'!I49+'JV 063005'!I49+'JV 063006'!I49+'JV 063007'!I49+'El 064001'!I49+'EH 066011'!I49+MT066013!I49</f>
        <v>-200813</v>
      </c>
      <c r="J50" s="40">
        <f>adm066051!J49+'gaas 04320'!J49+'Küte 043601'!J51+'küte 043602'!J49+'HV 052001'!J49+'HV 052003'!J49+'HV 052004'!J49+'JV 063001'!J49+'JV 063003'!J49+'JV 063004'!J49+'JV 063005'!J49+'JV 063006'!J49+'JV 063007'!J49+'El 064001'!J49+'EH 066011'!J49+MT066013!J49</f>
        <v>-200899</v>
      </c>
      <c r="K50" s="40">
        <f>adm066051!K49+'gaas 04320'!K49+'Küte 043601'!K51+'küte 043602'!K49+'HV 052001'!K49+'HV 052003'!K49+'HV 052004'!K49+'JV 063001'!K49+'JV 063003'!K49+'JV 063004'!K49+'JV 063005'!K49+'JV 063006'!K49+'JV 063007'!K49+'El 064001'!K49+'EH 066011'!K49+MT066013!K49</f>
        <v>-200913</v>
      </c>
      <c r="L50" s="40">
        <f>adm066051!L49+'gaas 04320'!L49+'Küte 043601'!L51+'küte 043602'!L49+'HV 052001'!L49+'HV 052003'!L49+'HV 052004'!L49+'JV 063001'!L49+'JV 063003'!L49+'JV 063004'!L49+'JV 063005'!L49+'JV 063006'!L49+'JV 063007'!L49+'El 064001'!L49+'EH 066011'!L49+MT066013!L49</f>
        <v>-203734</v>
      </c>
      <c r="M50" s="40">
        <f>adm066051!M49+'gaas 04320'!M49+'Küte 043601'!M51+'küte 043602'!M49+'HV 052001'!M49+'HV 052003'!M49+'HV 052004'!M49+'JV 063001'!M49+'JV 063003'!M49+'JV 063004'!M49+'JV 063005'!M49+'JV 063006'!M49+'JV 063007'!M49+'El 064001'!M49+'EH 066011'!M49+MT066013!M49</f>
        <v>-203744</v>
      </c>
      <c r="N50" s="4">
        <f>adm066051!N49+'gaas 04320'!N49+'Küte 043601'!N51+'küte 043602'!N49+'HV 052001'!N49+'HV 052003'!N49+'HV 052004'!N49+'JV 063001'!N49+'JV 063003'!N49+'JV 063004'!N49+'JV 063005'!N49+'JV 063006'!N49+'JV 063007'!N49+'El 064001'!N49+'EH 066011'!N49+MT066013!N49</f>
        <v>-204431</v>
      </c>
      <c r="O50" s="4">
        <f>adm066051!O49+'gaas 04320'!O49+'Küte 043601'!O51+'küte 043602'!O49+'HV 052001'!O49+'HV 052003'!O49+'HV 052004'!O49+'JV 063001'!O49+'JV 063003'!O49+'JV 063004'!O49+'JV 063005'!O49+'JV 063006'!O49+'JV 063007'!O49+'El 064001'!O49+'EH 066011'!O49+MT066013!O49</f>
        <v>-204405</v>
      </c>
      <c r="P50" s="4">
        <f>adm066051!P49+'gaas 04320'!P49+'Küte 043601'!P51+'küte 043602'!P49+'HV 052001'!P49+'HV 052003'!P49+'HV 052004'!P49+'JV 063001'!P49+'JV 063003'!P49+'JV 063004'!P49+'JV 063005'!P49+'JV 063006'!P49+'JV 063007'!P49+'El 064001'!P49+'EH 066011'!P49+MT066013!P49</f>
        <v>-218821</v>
      </c>
      <c r="Q50" s="4">
        <f>adm066051!Q49+'gaas 04320'!Q49+'Küte 043601'!Q51+'küte 043602'!Q49+'HV 052001'!Q49+'HV 052003'!Q49+'HV 052004'!Q49+'JV 063001'!Q49+'JV 063003'!Q49+'JV 063004'!Q49+'JV 063005'!Q49+'JV 063006'!Q49+'JV 063007'!Q49+'El 064001'!Q49+'EH 066011'!Q49+MT066013!Q49</f>
        <v>-219023</v>
      </c>
      <c r="R50" s="4">
        <f>adm066051!R49+'gaas 04320'!R49+'Küte 043601'!R51+'küte 043602'!R49+'HV 052001'!R49+'HV 052003'!R49+'HV 052004'!R49+'JV 063001'!R49+'JV 063003'!R49+'JV 063004'!R49+'JV 063005'!R49+'JV 063006'!R49+'JV 063007'!R49+'El 064001'!R49+'EH 066011'!R49+MT066013!R49</f>
        <v>-212863</v>
      </c>
      <c r="S50" s="4">
        <f>adm066051!S49+'gaas 04320'!S49+'Küte 043601'!S51+'küte 043602'!S49+'HV 052001'!S49+'HV 052003'!S49+'HV 052004'!S49+'JV 063001'!S49+'JV 063003'!S49+'JV 063004'!S49+'JV 063005'!S49+'JV 063006'!S49+'JV 063007'!S49+'El 064001'!S49+'EH 066011'!S49+MT066013!S49</f>
        <v>-212857</v>
      </c>
      <c r="T50" s="4">
        <f>adm066051!T49+'gaas 04320'!T49+'Küte 043601'!T51+'küte 043602'!T49+'HV 052001'!T49+'HV 052003'!T49+'HV 052004'!T49+'JV 063001'!T49+'JV 063003'!T49+'JV 063004'!T49+'JV 063005'!T49+'JV 063006'!T49+'JV 063007'!T49+'El 064001'!T49+'EH 066011'!T49+MT066013!T49</f>
        <v>-223738.91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13</v>
      </c>
      <c r="E51" s="12" t="s">
        <v>57</v>
      </c>
      <c r="F51" s="4">
        <f>adm066051!F50+'gaas 04320'!F50+'Küte 043601'!F52+'küte 043602'!F50+'HV 052001'!F50+'HV 052003'!F50+'HV 052004'!F50+'JV 063001'!F50+'JV 063003'!F50+'JV 063004'!F50+'JV 063005'!F50+'JV 063006'!F50+'JV 063007'!F50+'El 064001'!F50+'EH 066011'!F50+MT066013!F50</f>
        <v>-1227403</v>
      </c>
      <c r="G51" s="4">
        <f>adm066051!G50+'gaas 04320'!G50+'Küte 043601'!G52+'küte 043602'!G50+'HV 052001'!G50+'HV 052003'!G50+'HV 052004'!G50+'JV 063001'!G50+'JV 063003'!G50+'JV 063004'!G50+'JV 063005'!G50+'JV 063006'!G50+'JV 063007'!G50+'El 064001'!G50+'EH 066011'!G50+MT066013!G50</f>
        <v>-1446018.87</v>
      </c>
      <c r="H51" s="10">
        <f t="shared" si="0"/>
        <v>-1810499</v>
      </c>
      <c r="I51" s="38">
        <f>adm066051!I50+'gaas 04320'!I50+'Küte 043601'!I52+'küte 043602'!I50+'HV 052001'!I50+'HV 052003'!I50+'HV 052004'!I50+'JV 063001'!I50+'JV 063003'!I50+'JV 063004'!I50+'JV 063005'!I50+'JV 063006'!I50+'JV 063007'!I50+'El 064001'!I50+'EH 066011'!I50+MT066013!I50</f>
        <v>-145948</v>
      </c>
      <c r="J51" s="38">
        <f>adm066051!J50+'gaas 04320'!J50+'Küte 043601'!J52+'küte 043602'!J50+'HV 052001'!J50+'HV 052003'!J50+'HV 052004'!J50+'JV 063001'!J50+'JV 063003'!J50+'JV 063004'!J50+'JV 063005'!J50+'JV 063006'!J50+'JV 063007'!J50+'El 064001'!J50+'EH 066011'!J50+MT066013!J50</f>
        <v>-145940</v>
      </c>
      <c r="K51" s="38">
        <f>adm066051!K50+'gaas 04320'!K50+'Küte 043601'!K52+'küte 043602'!K50+'HV 052001'!K50+'HV 052003'!K50+'HV 052004'!K50+'JV 063001'!K50+'JV 063003'!K50+'JV 063004'!K50+'JV 063005'!K50+'JV 063006'!K50+'JV 063007'!K50+'El 064001'!K50+'EH 066011'!K50+MT066013!K50</f>
        <v>-145947</v>
      </c>
      <c r="L51" s="38">
        <f>adm066051!L50+'gaas 04320'!L50+'Küte 043601'!L52+'küte 043602'!L50+'HV 052001'!L50+'HV 052003'!L50+'HV 052004'!L50+'JV 063001'!L50+'JV 063003'!L50+'JV 063004'!L50+'JV 063005'!L50+'JV 063006'!L50+'JV 063007'!L50+'El 064001'!L50+'EH 066011'!L50+MT066013!L50</f>
        <v>-145933</v>
      </c>
      <c r="M51" s="38">
        <f>adm066051!M50+'gaas 04320'!M50+'Küte 043601'!M52+'küte 043602'!M50+'HV 052001'!M50+'HV 052003'!M50+'HV 052004'!M50+'JV 063001'!M50+'JV 063003'!M50+'JV 063004'!M50+'JV 063005'!M50+'JV 063006'!M50+'JV 063007'!M50+'El 064001'!M50+'EH 066011'!M50+MT066013!M50</f>
        <v>-145941</v>
      </c>
      <c r="N51" s="13">
        <f>adm066051!N50+'gaas 04320'!N50+'Küte 043601'!N52+'küte 043602'!N50+'HV 052001'!N50+'HV 052003'!N50+'HV 052004'!N50+'JV 063001'!N50+'JV 063003'!N50+'JV 063004'!N50+'JV 063005'!N50+'JV 063006'!N50+'JV 063007'!N50+'El 064001'!N50+'EH 066011'!N50+MT066013!N50</f>
        <v>-146620</v>
      </c>
      <c r="O51" s="13">
        <f>adm066051!O50+'gaas 04320'!O50+'Küte 043601'!O52+'küte 043602'!O50+'HV 052001'!O50+'HV 052003'!O50+'HV 052004'!O50+'JV 063001'!O50+'JV 063003'!O50+'JV 063004'!O50+'JV 063005'!O50+'JV 063006'!O50+'JV 063007'!O50+'El 064001'!O50+'EH 066011'!O50+MT066013!O50</f>
        <v>-146603</v>
      </c>
      <c r="P51" s="13">
        <f>adm066051!P50+'gaas 04320'!P50+'Küte 043601'!P52+'küte 043602'!P50+'HV 052001'!P50+'HV 052003'!P50+'HV 052004'!P50+'JV 063001'!P50+'JV 063003'!P50+'JV 063004'!P50+'JV 063005'!P50+'JV 063006'!P50+'JV 063007'!P50+'El 064001'!P50+'EH 066011'!P50+MT066013!P50</f>
        <v>-161023</v>
      </c>
      <c r="Q51" s="13">
        <f>adm066051!Q50+'gaas 04320'!Q50+'Küte 043601'!Q52+'küte 043602'!Q50+'HV 052001'!Q50+'HV 052003'!Q50+'HV 052004'!Q50+'JV 063001'!Q50+'JV 063003'!Q50+'JV 063004'!Q50+'JV 063005'!Q50+'JV 063006'!Q50+'JV 063007'!Q50+'El 064001'!Q50+'EH 066011'!Q50+MT066013!Q50</f>
        <v>-161210</v>
      </c>
      <c r="R51" s="13">
        <f>adm066051!R50+'gaas 04320'!R50+'Küte 043601'!R52+'küte 043602'!R50+'HV 052001'!R50+'HV 052003'!R50+'HV 052004'!R50+'JV 063001'!R50+'JV 063003'!R50+'JV 063004'!R50+'JV 063005'!R50+'JV 063006'!R50+'JV 063007'!R50+'El 064001'!R50+'EH 066011'!R50+MT066013!R50</f>
        <v>-156184</v>
      </c>
      <c r="S51" s="13">
        <f>adm066051!S50+'gaas 04320'!S50+'Küte 043601'!S52+'küte 043602'!S50+'HV 052001'!S50+'HV 052003'!S50+'HV 052004'!S50+'JV 063001'!S50+'JV 063003'!S50+'JV 063004'!S50+'JV 063005'!S50+'JV 063006'!S50+'JV 063007'!S50+'El 064001'!S50+'EH 066011'!S50+MT066013!S50</f>
        <v>-156173</v>
      </c>
      <c r="T51" s="13">
        <f>adm066051!T50+'gaas 04320'!T50+'Küte 043601'!T52+'küte 043602'!T50+'HV 052001'!T50+'HV 052003'!T50+'HV 052004'!T50+'JV 063001'!T50+'JV 063003'!T50+'JV 063004'!T50+'JV 063005'!T50+'JV 063006'!T50+'JV 063007'!T50+'El 064001'!T50+'EH 066011'!T50+MT066013!T50</f>
        <v>-152977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22</v>
      </c>
      <c r="E52" s="12" t="s">
        <v>58</v>
      </c>
      <c r="F52" s="4">
        <f>adm066051!F51+'gaas 04320'!F51+'Küte 043601'!F53+'küte 043602'!F51+'HV 052001'!F51+'HV 052003'!F51+'HV 052004'!F51+'JV 063001'!F51+'JV 063003'!F51+'JV 063004'!F51+'JV 063005'!F51+'JV 063006'!F51+'JV 063007'!F51+'El 064001'!F51+'EH 066011'!F51+MT066013!F51</f>
        <v>-436743.02</v>
      </c>
      <c r="G52" s="4">
        <f>adm066051!G51+'gaas 04320'!G51+'Küte 043601'!G53+'küte 043602'!G51+'HV 052001'!G51+'HV 052003'!G51+'HV 052004'!G51+'JV 063001'!G51+'JV 063003'!G51+'JV 063004'!G51+'JV 063005'!G51+'JV 063006'!G51+'JV 063007'!G51+'El 064001'!G51+'EH 066011'!G51+MT066013!G51</f>
        <v>-455279.62</v>
      </c>
      <c r="H52" s="10">
        <f t="shared" si="0"/>
        <v>-659260</v>
      </c>
      <c r="I52" s="38">
        <f>adm066051!I51+'gaas 04320'!I51+'Küte 043601'!I53+'küte 043602'!I51+'HV 052001'!I51+'HV 052003'!I51+'HV 052004'!I51+'JV 063001'!I51+'JV 063003'!I51+'JV 063004'!I51+'JV 063005'!I51+'JV 063006'!I51+'JV 063007'!I51+'El 064001'!I51+'EH 066011'!I51+MT066013!I51</f>
        <v>-52840</v>
      </c>
      <c r="J52" s="38">
        <f>adm066051!J51+'gaas 04320'!J51+'Küte 043601'!J53+'küte 043602'!J51+'HV 052001'!J51+'HV 052003'!J51+'HV 052004'!J51+'JV 063001'!J51+'JV 063003'!J51+'JV 063004'!J51+'JV 063005'!J51+'JV 063006'!J51+'JV 063007'!J51+'El 064001'!J51+'EH 066011'!J51+MT066013!J51</f>
        <v>-52935</v>
      </c>
      <c r="K52" s="38">
        <f>adm066051!K51+'gaas 04320'!K51+'Küte 043601'!K53+'küte 043602'!K51+'HV 052001'!K51+'HV 052003'!K51+'HV 052004'!K51+'JV 063001'!K51+'JV 063003'!K51+'JV 063004'!K51+'JV 063005'!K51+'JV 063006'!K51+'JV 063007'!K51+'El 064001'!K51+'EH 066011'!K51+MT066013!K51</f>
        <v>-52940</v>
      </c>
      <c r="L52" s="38">
        <f>adm066051!L51+'gaas 04320'!L51+'Küte 043601'!L53+'küte 043602'!L51+'HV 052001'!L51+'HV 052003'!L51+'HV 052004'!L51+'JV 063001'!L51+'JV 063003'!L51+'JV 063004'!L51+'JV 063005'!L51+'JV 063006'!L51+'JV 063007'!L51+'El 064001'!L51+'EH 066011'!L51+MT066013!L51</f>
        <v>-55778</v>
      </c>
      <c r="M52" s="38">
        <f>adm066051!M51+'gaas 04320'!M51+'Küte 043601'!M53+'küte 043602'!M51+'HV 052001'!M51+'HV 052003'!M51+'HV 052004'!M51+'JV 063001'!M51+'JV 063003'!M51+'JV 063004'!M51+'JV 063005'!M51+'JV 063006'!M51+'JV 063007'!M51+'El 064001'!M51+'EH 066011'!M51+MT066013!M51</f>
        <v>-55778</v>
      </c>
      <c r="N52" s="13">
        <f>adm066051!N51+'gaas 04320'!N51+'Küte 043601'!N53+'küte 043602'!N51+'HV 052001'!N51+'HV 052003'!N51+'HV 052004'!N51+'JV 063001'!N51+'JV 063003'!N51+'JV 063004'!N51+'JV 063005'!N51+'JV 063006'!N51+'JV 063007'!N51+'El 064001'!N51+'EH 066011'!N51+MT066013!N51</f>
        <v>-55787</v>
      </c>
      <c r="O52" s="13">
        <f>adm066051!O51+'gaas 04320'!O51+'Küte 043601'!O53+'küte 043602'!O51+'HV 052001'!O51+'HV 052003'!O51+'HV 052004'!O51+'JV 063001'!O51+'JV 063003'!O51+'JV 063004'!O51+'JV 063005'!O51+'JV 063006'!O51+'JV 063007'!O51+'El 064001'!O51+'EH 066011'!O51+MT066013!O51</f>
        <v>-55777</v>
      </c>
      <c r="P52" s="13">
        <f>adm066051!P51+'gaas 04320'!P51+'Küte 043601'!P53+'küte 043602'!P51+'HV 052001'!P51+'HV 052003'!P51+'HV 052004'!P51+'JV 063001'!P51+'JV 063003'!P51+'JV 063004'!P51+'JV 063005'!P51+'JV 063006'!P51+'JV 063007'!P51+'El 064001'!P51+'EH 066011'!P51+MT066013!P51</f>
        <v>-55775</v>
      </c>
      <c r="Q52" s="13">
        <f>adm066051!Q51+'gaas 04320'!Q51+'Küte 043601'!Q53+'küte 043602'!Q51+'HV 052001'!Q51+'HV 052003'!Q51+'HV 052004'!Q51+'JV 063001'!Q51+'JV 063003'!Q51+'JV 063004'!Q51+'JV 063005'!Q51+'JV 063006'!Q51+'JV 063007'!Q51+'El 064001'!Q51+'EH 066011'!Q51+MT066013!Q51</f>
        <v>-55786</v>
      </c>
      <c r="R52" s="13">
        <f>adm066051!R51+'gaas 04320'!R51+'Küte 043601'!R53+'küte 043602'!R51+'HV 052001'!R51+'HV 052003'!R51+'HV 052004'!R51+'JV 063001'!R51+'JV 063003'!R51+'JV 063004'!R51+'JV 063005'!R51+'JV 063006'!R51+'JV 063007'!R51+'El 064001'!R51+'EH 066011'!R51+MT066013!R51</f>
        <v>-54657</v>
      </c>
      <c r="S52" s="13">
        <f>adm066051!S51+'gaas 04320'!S51+'Küte 043601'!S53+'küte 043602'!S51+'HV 052001'!S51+'HV 052003'!S51+'HV 052004'!S51+'JV 063001'!S51+'JV 063003'!S51+'JV 063004'!S51+'JV 063005'!S51+'JV 063006'!S51+'JV 063007'!S51+'El 064001'!S51+'EH 066011'!S51+MT066013!S51</f>
        <v>-54658</v>
      </c>
      <c r="T52" s="13">
        <f>adm066051!T51+'gaas 04320'!T51+'Küte 043601'!T53+'küte 043602'!T51+'HV 052001'!T51+'HV 052003'!T51+'HV 052004'!T51+'JV 063001'!T51+'JV 063003'!T51+'JV 063004'!T51+'JV 063005'!T51+'JV 063006'!T51+'JV 063007'!T51+'El 064001'!T51+'EH 066011'!T51+MT066013!T51</f>
        <v>-56549</v>
      </c>
    </row>
    <row r="53" spans="1:20" ht="12.75">
      <c r="A53" s="12" t="s">
        <v>34</v>
      </c>
      <c r="B53" s="12" t="s">
        <v>16</v>
      </c>
      <c r="C53" s="12" t="s">
        <v>16</v>
      </c>
      <c r="D53" s="12" t="s">
        <v>10</v>
      </c>
      <c r="E53" s="12" t="s">
        <v>59</v>
      </c>
      <c r="F53" s="4">
        <f>adm066051!F52+'gaas 04320'!F52+'Küte 043601'!F54+'küte 043602'!F52+'HV 052001'!F52+'HV 052003'!F52+'HV 052004'!F52+'JV 063001'!F52+'JV 063003'!F52+'JV 063004'!F52+'JV 063005'!F52+'JV 063006'!F52+'JV 063007'!F52+'El 064001'!F52+'EH 066011'!F52+MT066013!F52</f>
        <v>-10052</v>
      </c>
      <c r="G53" s="4">
        <f>adm066051!G52+'gaas 04320'!G52+'Küte 043601'!G54+'küte 043602'!G52+'HV 052001'!G52+'HV 052003'!G52+'HV 052004'!G52+'JV 063001'!G52+'JV 063003'!G52+'JV 063004'!G52+'JV 063005'!G52+'JV 063006'!G52+'JV 063007'!G52+'El 064001'!G52+'EH 066011'!G52+MT066013!G52</f>
        <v>-4105</v>
      </c>
      <c r="H53" s="10">
        <f t="shared" si="0"/>
        <v>-14831.91</v>
      </c>
      <c r="I53" s="38">
        <f>adm066051!I52+'gaas 04320'!I52+'Küte 043601'!I54+'küte 043602'!I52+'HV 052001'!I52+'HV 052003'!I52+'HV 052004'!I52+'JV 063001'!I52+'JV 063003'!I52+'JV 063004'!I52+'JV 063005'!I52+'JV 063006'!I52+'JV 063007'!I52+'El 064001'!I52+'EH 066011'!I52+MT066013!I52</f>
        <v>-220</v>
      </c>
      <c r="J53" s="38">
        <f>adm066051!J52+'gaas 04320'!J52+'Küte 043601'!J54+'küte 043602'!J52+'HV 052001'!J52+'HV 052003'!J52+'HV 052004'!J52+'JV 063001'!J52+'JV 063003'!J52+'JV 063004'!J52+'JV 063005'!J52+'JV 063006'!J52+'JV 063007'!J52+'El 064001'!J52+'EH 066011'!J52+MT066013!J52</f>
        <v>-220</v>
      </c>
      <c r="K53" s="38">
        <f>adm066051!K52+'gaas 04320'!K52+'Küte 043601'!K54+'küte 043602'!K52+'HV 052001'!K52+'HV 052003'!K52+'HV 052004'!K52+'JV 063001'!K52+'JV 063003'!K52+'JV 063004'!K52+'JV 063005'!K52+'JV 063006'!K52+'JV 063007'!K52+'El 064001'!K52+'EH 066011'!K52+MT066013!K52</f>
        <v>-221</v>
      </c>
      <c r="L53" s="38">
        <f>adm066051!L52+'gaas 04320'!L52+'Küte 043601'!L54+'küte 043602'!L52+'HV 052001'!L52+'HV 052003'!L52+'HV 052004'!L52+'JV 063001'!L52+'JV 063003'!L52+'JV 063004'!L52+'JV 063005'!L52+'JV 063006'!L52+'JV 063007'!L52+'El 064001'!L52+'EH 066011'!L52+MT066013!L52</f>
        <v>-220</v>
      </c>
      <c r="M53" s="38">
        <f>adm066051!M52+'gaas 04320'!M52+'Küte 043601'!M54+'küte 043602'!M52+'HV 052001'!M52+'HV 052003'!M52+'HV 052004'!M52+'JV 063001'!M52+'JV 063003'!M52+'JV 063004'!M52+'JV 063005'!M52+'JV 063006'!M52+'JV 063007'!M52+'El 064001'!M52+'EH 066011'!M52+MT066013!M52</f>
        <v>-220</v>
      </c>
      <c r="N53" s="13">
        <f>adm066051!N52+'gaas 04320'!N52+'Küte 043601'!N54+'küte 043602'!N52+'HV 052001'!N52+'HV 052003'!N52+'HV 052004'!N52+'JV 063001'!N52+'JV 063003'!N52+'JV 063004'!N52+'JV 063005'!N52+'JV 063006'!N52+'JV 063007'!N52+'El 064001'!N52+'EH 066011'!N52+MT066013!N52</f>
        <v>-220</v>
      </c>
      <c r="O53" s="13">
        <f>adm066051!O52+'gaas 04320'!O52+'Küte 043601'!O54+'küte 043602'!O52+'HV 052001'!O52+'HV 052003'!O52+'HV 052004'!O52+'JV 063001'!O52+'JV 063003'!O52+'JV 063004'!O52+'JV 063005'!O52+'JV 063006'!O52+'JV 063007'!O52+'El 064001'!O52+'EH 066011'!O52+MT066013!O52</f>
        <v>-220</v>
      </c>
      <c r="P53" s="13">
        <f>adm066051!P52+'gaas 04320'!P52+'Küte 043601'!P54+'küte 043602'!P52+'HV 052001'!P52+'HV 052003'!P52+'HV 052004'!P52+'JV 063001'!P52+'JV 063003'!P52+'JV 063004'!P52+'JV 063005'!P52+'JV 063006'!P52+'JV 063007'!P52+'El 064001'!P52+'EH 066011'!P52+MT066013!P52</f>
        <v>-220</v>
      </c>
      <c r="Q53" s="13">
        <f>adm066051!Q52+'gaas 04320'!Q52+'Küte 043601'!Q54+'küte 043602'!Q52+'HV 052001'!Q52+'HV 052003'!Q52+'HV 052004'!Q52+'JV 063001'!Q52+'JV 063003'!Q52+'JV 063004'!Q52+'JV 063005'!Q52+'JV 063006'!Q52+'JV 063007'!Q52+'El 064001'!Q52+'EH 066011'!Q52+MT066013!Q52</f>
        <v>-221</v>
      </c>
      <c r="R53" s="13">
        <f>adm066051!R52+'gaas 04320'!R52+'Küte 043601'!R54+'küte 043602'!R52+'HV 052001'!R52+'HV 052003'!R52+'HV 052004'!R52+'JV 063001'!R52+'JV 063003'!R52+'JV 063004'!R52+'JV 063005'!R52+'JV 063006'!R52+'JV 063007'!R52+'El 064001'!R52+'EH 066011'!R52+MT066013!R52</f>
        <v>-220</v>
      </c>
      <c r="S53" s="13">
        <f>adm066051!S52+'gaas 04320'!S52+'Küte 043601'!S54+'küte 043602'!S52+'HV 052001'!S52+'HV 052003'!S52+'HV 052004'!S52+'JV 063001'!S52+'JV 063003'!S52+'JV 063004'!S52+'JV 063005'!S52+'JV 063006'!S52+'JV 063007'!S52+'El 064001'!S52+'EH 066011'!S52+MT066013!S52</f>
        <v>-220</v>
      </c>
      <c r="T53" s="13">
        <f>adm066051!T52+'gaas 04320'!T52+'Küte 043601'!T54+'küte 043602'!T52+'HV 052001'!T52+'HV 052003'!T52+'HV 052004'!T52+'JV 063001'!T52+'JV 063003'!T52+'JV 063004'!T52+'JV 063005'!T52+'JV 063006'!T52+'JV 063007'!T52+'El 064001'!T52+'EH 066011'!T52+MT066013!T52</f>
        <v>-12409.91</v>
      </c>
    </row>
    <row r="54" spans="1:20" ht="12.75">
      <c r="A54" s="12">
        <v>6</v>
      </c>
      <c r="B54" s="12">
        <v>1</v>
      </c>
      <c r="C54" s="12">
        <v>1</v>
      </c>
      <c r="D54" s="12">
        <v>6</v>
      </c>
      <c r="E54" s="12" t="s">
        <v>60</v>
      </c>
      <c r="F54" s="4">
        <f>adm066051!F53+'gaas 04320'!F53+'Küte 043601'!F55+'küte 043602'!F53+'HV 052001'!F53+'HV 052003'!F53+'HV 052004'!F53+'JV 063001'!F53+'JV 063003'!F53+'JV 063004'!F53+'JV 063005'!F53+'JV 063006'!F53+'JV 063007'!F53+'El 064001'!F53+'EH 066011'!F53+MT066013!F53</f>
        <v>-7385</v>
      </c>
      <c r="G54" s="4">
        <f>adm066051!G53+'gaas 04320'!G53+'Küte 043601'!G55+'küte 043602'!G53+'HV 052001'!G53+'HV 052003'!G53+'HV 052004'!G53+'JV 063001'!G53+'JV 063003'!G53+'JV 063004'!G53+'JV 063005'!G53+'JV 063006'!G53+'JV 063007'!G53+'El 064001'!G53+'EH 066011'!G53+MT066013!G53</f>
        <v>-10953</v>
      </c>
      <c r="H54" s="10">
        <f t="shared" si="0"/>
        <v>-21651</v>
      </c>
      <c r="I54" s="38">
        <f>adm066051!I53+'gaas 04320'!I53+'Küte 043601'!I55+'küte 043602'!I53+'HV 052001'!I53+'HV 052003'!I53+'HV 052004'!I53+'JV 063001'!I53+'JV 063003'!I53+'JV 063004'!I53+'JV 063005'!I53+'JV 063006'!I53+'JV 063007'!I53+'El 064001'!I53+'EH 066011'!I53+MT066013!I53</f>
        <v>-1805</v>
      </c>
      <c r="J54" s="38">
        <f>adm066051!J53+'gaas 04320'!J53+'Küte 043601'!J55+'küte 043602'!J53+'HV 052001'!J53+'HV 052003'!J53+'HV 052004'!J53+'JV 063001'!J53+'JV 063003'!J53+'JV 063004'!J53+'JV 063005'!J53+'JV 063006'!J53+'JV 063007'!J53+'El 064001'!J53+'EH 066011'!J53+MT066013!J53</f>
        <v>-1804</v>
      </c>
      <c r="K54" s="38">
        <f>adm066051!K53+'gaas 04320'!K53+'Küte 043601'!K55+'küte 043602'!K53+'HV 052001'!K53+'HV 052003'!K53+'HV 052004'!K53+'JV 063001'!K53+'JV 063003'!K53+'JV 063004'!K53+'JV 063005'!K53+'JV 063006'!K53+'JV 063007'!K53+'El 064001'!K53+'EH 066011'!K53+MT066013!K53</f>
        <v>-1805</v>
      </c>
      <c r="L54" s="38">
        <f>adm066051!L53+'gaas 04320'!L53+'Küte 043601'!L55+'küte 043602'!L53+'HV 052001'!L53+'HV 052003'!L53+'HV 052004'!L53+'JV 063001'!L53+'JV 063003'!L53+'JV 063004'!L53+'JV 063005'!L53+'JV 063006'!L53+'JV 063007'!L53+'El 064001'!L53+'EH 066011'!L53+MT066013!L53</f>
        <v>-1803</v>
      </c>
      <c r="M54" s="38">
        <f>adm066051!M53+'gaas 04320'!M53+'Küte 043601'!M55+'küte 043602'!M53+'HV 052001'!M53+'HV 052003'!M53+'HV 052004'!M53+'JV 063001'!M53+'JV 063003'!M53+'JV 063004'!M53+'JV 063005'!M53+'JV 063006'!M53+'JV 063007'!M53+'El 064001'!M53+'EH 066011'!M53+MT066013!M53</f>
        <v>-1805</v>
      </c>
      <c r="N54" s="13">
        <f>adm066051!N53+'gaas 04320'!N53+'Küte 043601'!N55+'küte 043602'!N53+'HV 052001'!N53+'HV 052003'!N53+'HV 052004'!N53+'JV 063001'!N53+'JV 063003'!N53+'JV 063004'!N53+'JV 063005'!N53+'JV 063006'!N53+'JV 063007'!N53+'El 064001'!N53+'EH 066011'!N53+MT066013!N53</f>
        <v>-1804</v>
      </c>
      <c r="O54" s="13">
        <f>adm066051!O53+'gaas 04320'!O53+'Küte 043601'!O55+'küte 043602'!O53+'HV 052001'!O53+'HV 052003'!O53+'HV 052004'!O53+'JV 063001'!O53+'JV 063003'!O53+'JV 063004'!O53+'JV 063005'!O53+'JV 063006'!O53+'JV 063007'!O53+'El 064001'!O53+'EH 066011'!O53+MT066013!O53</f>
        <v>-1805</v>
      </c>
      <c r="P54" s="13">
        <f>adm066051!P53+'gaas 04320'!P53+'Küte 043601'!P55+'küte 043602'!P53+'HV 052001'!P53+'HV 052003'!P53+'HV 052004'!P53+'JV 063001'!P53+'JV 063003'!P53+'JV 063004'!P53+'JV 063005'!P53+'JV 063006'!P53+'JV 063007'!P53+'El 064001'!P53+'EH 066011'!P53+MT066013!P53</f>
        <v>-1803</v>
      </c>
      <c r="Q54" s="13">
        <f>adm066051!Q53+'gaas 04320'!Q53+'Küte 043601'!Q55+'küte 043602'!Q53+'HV 052001'!Q53+'HV 052003'!Q53+'HV 052004'!Q53+'JV 063001'!Q53+'JV 063003'!Q53+'JV 063004'!Q53+'JV 063005'!Q53+'JV 063006'!Q53+'JV 063007'!Q53+'El 064001'!Q53+'EH 066011'!Q53+MT066013!Q53</f>
        <v>-1806</v>
      </c>
      <c r="R54" s="13">
        <f>adm066051!R53+'gaas 04320'!R53+'Küte 043601'!R55+'küte 043602'!R53+'HV 052001'!R53+'HV 052003'!R53+'HV 052004'!R53+'JV 063001'!R53+'JV 063003'!R53+'JV 063004'!R53+'JV 063005'!R53+'JV 063006'!R53+'JV 063007'!R53+'El 064001'!R53+'EH 066011'!R53+MT066013!R53</f>
        <v>-1802</v>
      </c>
      <c r="S54" s="13">
        <f>adm066051!S53+'gaas 04320'!S53+'Küte 043601'!S55+'küte 043602'!S53+'HV 052001'!S53+'HV 052003'!S53+'HV 052004'!S53+'JV 063001'!S53+'JV 063003'!S53+'JV 063004'!S53+'JV 063005'!S53+'JV 063006'!S53+'JV 063007'!S53+'El 064001'!S53+'EH 066011'!S53+MT066013!S53</f>
        <v>-1806</v>
      </c>
      <c r="T54" s="13">
        <f>adm066051!T53+'gaas 04320'!T53+'Küte 043601'!T55+'küte 043602'!T53+'HV 052001'!T53+'HV 052003'!T53+'HV 052004'!T53+'JV 063001'!T53+'JV 063003'!T53+'JV 063004'!T53+'JV 063005'!T53+'JV 063006'!T53+'JV 063007'!T53+'El 064001'!T53+'EH 066011'!T53+MT066013!T53</f>
        <v>-1803</v>
      </c>
    </row>
    <row r="55" spans="1:20" ht="12.75">
      <c r="A55" s="6" t="s">
        <v>34</v>
      </c>
      <c r="B55" s="6" t="s">
        <v>16</v>
      </c>
      <c r="C55" s="6" t="s">
        <v>3</v>
      </c>
      <c r="D55" s="6" t="s">
        <v>4</v>
      </c>
      <c r="E55" s="6" t="s">
        <v>61</v>
      </c>
      <c r="F55" s="4">
        <f>adm066051!F54+'gaas 04320'!F54+'Küte 043601'!F56+'küte 043602'!F54+'HV 052001'!F54+'HV 052003'!F54+'HV 052004'!F54+'JV 063001'!F54+'JV 063003'!F54+'JV 063004'!F54+'JV 063005'!F54+'JV 063006'!F54+'JV 063007'!F54+'El 064001'!F54+'EH 066011'!F54+MT066013!F54</f>
        <v>-4200</v>
      </c>
      <c r="G55" s="4">
        <f>adm066051!G54+'gaas 04320'!G54+'Küte 043601'!G56+'küte 043602'!G54+'HV 052001'!G54+'HV 052003'!G54+'HV 052004'!G54+'JV 063001'!G54+'JV 063003'!G54+'JV 063004'!G54+'JV 063005'!G54+'JV 063006'!G54+'JV 063007'!G54+'El 064001'!G54+'EH 066011'!G54+MT066013!G54</f>
        <v>0</v>
      </c>
      <c r="H55" s="7">
        <f t="shared" si="0"/>
        <v>0</v>
      </c>
      <c r="I55" s="40">
        <f>adm066051!I54+'gaas 04320'!I54+'Küte 043601'!I56+'küte 043602'!I54+'HV 052001'!I54+'HV 052003'!I54+'HV 052004'!I54+'JV 063001'!I54+'JV 063003'!I54+'JV 063004'!I54+'JV 063005'!I54+'JV 063006'!I54+'JV 063007'!I54+'El 064001'!I54+'EH 066011'!I54+MT066013!I54</f>
        <v>0</v>
      </c>
      <c r="J55" s="40">
        <f>adm066051!J54+'gaas 04320'!J54+'Küte 043601'!J56+'küte 043602'!J54+'HV 052001'!J54+'HV 052003'!J54+'HV 052004'!J54+'JV 063001'!J54+'JV 063003'!J54+'JV 063004'!J54+'JV 063005'!J54+'JV 063006'!J54+'JV 063007'!J54+'El 064001'!J54+'EH 066011'!J54+MT066013!J54</f>
        <v>0</v>
      </c>
      <c r="K55" s="40">
        <f>adm066051!K54+'gaas 04320'!K54+'Küte 043601'!K56+'küte 043602'!K54+'HV 052001'!K54+'HV 052003'!K54+'HV 052004'!K54+'JV 063001'!K54+'JV 063003'!K54+'JV 063004'!K54+'JV 063005'!K54+'JV 063006'!K54+'JV 063007'!K54+'El 064001'!K54+'EH 066011'!K54+MT066013!K54</f>
        <v>0</v>
      </c>
      <c r="L55" s="40">
        <f>adm066051!L54+'gaas 04320'!L54+'Küte 043601'!L56+'küte 043602'!L54+'HV 052001'!L54+'HV 052003'!L54+'HV 052004'!L54+'JV 063001'!L54+'JV 063003'!L54+'JV 063004'!L54+'JV 063005'!L54+'JV 063006'!L54+'JV 063007'!L54+'El 064001'!L54+'EH 066011'!L54+MT066013!L54</f>
        <v>0</v>
      </c>
      <c r="M55" s="40">
        <f>adm066051!M54+'gaas 04320'!M54+'Küte 043601'!M56+'küte 043602'!M54+'HV 052001'!M54+'HV 052003'!M54+'HV 052004'!M54+'JV 063001'!M54+'JV 063003'!M54+'JV 063004'!M54+'JV 063005'!M54+'JV 063006'!M54+'JV 063007'!M54+'El 064001'!M54+'EH 066011'!M54+MT066013!M54</f>
        <v>0</v>
      </c>
      <c r="N55" s="4">
        <f>adm066051!N54+'gaas 04320'!N54+'Küte 043601'!N56+'küte 043602'!N54+'HV 052001'!N54+'HV 052003'!N54+'HV 052004'!N54+'JV 063001'!N54+'JV 063003'!N54+'JV 063004'!N54+'JV 063005'!N54+'JV 063006'!N54+'JV 063007'!N54+'El 064001'!N54+'EH 066011'!N54+MT066013!N54</f>
        <v>0</v>
      </c>
      <c r="O55" s="4">
        <f>adm066051!O54+'gaas 04320'!O54+'Küte 043601'!O56+'küte 043602'!O54+'HV 052001'!O54+'HV 052003'!O54+'HV 052004'!O54+'JV 063001'!O54+'JV 063003'!O54+'JV 063004'!O54+'JV 063005'!O54+'JV 063006'!O54+'JV 063007'!O54+'El 064001'!O54+'EH 066011'!O54+MT066013!O54</f>
        <v>0</v>
      </c>
      <c r="P55" s="4">
        <f>adm066051!P54+'gaas 04320'!P54+'Küte 043601'!P56+'küte 043602'!P54+'HV 052001'!P54+'HV 052003'!P54+'HV 052004'!P54+'JV 063001'!P54+'JV 063003'!P54+'JV 063004'!P54+'JV 063005'!P54+'JV 063006'!P54+'JV 063007'!P54+'El 064001'!P54+'EH 066011'!P54+MT066013!P54</f>
        <v>0</v>
      </c>
      <c r="Q55" s="4">
        <f>adm066051!Q54+'gaas 04320'!Q54+'Küte 043601'!Q56+'küte 043602'!Q54+'HV 052001'!Q54+'HV 052003'!Q54+'HV 052004'!Q54+'JV 063001'!Q54+'JV 063003'!Q54+'JV 063004'!Q54+'JV 063005'!Q54+'JV 063006'!Q54+'JV 063007'!Q54+'El 064001'!Q54+'EH 066011'!Q54+MT066013!Q54</f>
        <v>0</v>
      </c>
      <c r="R55" s="4">
        <f>adm066051!R54+'gaas 04320'!R54+'Küte 043601'!R56+'küte 043602'!R54+'HV 052001'!R54+'HV 052003'!R54+'HV 052004'!R54+'JV 063001'!R54+'JV 063003'!R54+'JV 063004'!R54+'JV 063005'!R54+'JV 063006'!R54+'JV 063007'!R54+'El 064001'!R54+'EH 066011'!R54+MT066013!R54</f>
        <v>0</v>
      </c>
      <c r="S55" s="4">
        <f>adm066051!S54+'gaas 04320'!S54+'Küte 043601'!S56+'küte 043602'!S54+'HV 052001'!S54+'HV 052003'!S54+'HV 052004'!S54+'JV 063001'!S54+'JV 063003'!S54+'JV 063004'!S54+'JV 063005'!S54+'JV 063006'!S54+'JV 063007'!S54+'El 064001'!S54+'EH 066011'!S54+MT066013!S54</f>
        <v>0</v>
      </c>
      <c r="T55" s="4">
        <f>adm066051!T54+'gaas 04320'!T54+'Küte 043601'!T56+'küte 043602'!T54+'HV 052001'!T54+'HV 052003'!T54+'HV 052004'!T54+'JV 063001'!T54+'JV 063003'!T54+'JV 063004'!T54+'JV 063005'!T54+'JV 063006'!T54+'JV 063007'!T54+'El 064001'!T54+'EH 066011'!T54+MT066013!T54</f>
        <v>0</v>
      </c>
    </row>
    <row r="56" spans="1:20" ht="12.75">
      <c r="A56" s="6" t="s">
        <v>34</v>
      </c>
      <c r="B56" s="6" t="s">
        <v>10</v>
      </c>
      <c r="C56" s="6" t="s">
        <v>4</v>
      </c>
      <c r="D56" s="6" t="s">
        <v>4</v>
      </c>
      <c r="E56" s="6" t="s">
        <v>62</v>
      </c>
      <c r="F56" s="4">
        <f>adm066051!F55+'gaas 04320'!F55+'Küte 043601'!F57+'küte 043602'!F55+'HV 052001'!F55+'HV 052003'!F55+'HV 052004'!F55+'JV 063001'!F55+'JV 063003'!F55+'JV 063004'!F55+'JV 063005'!F55+'JV 063006'!F55+'JV 063007'!F55+'El 064001'!F55+'EH 066011'!F55+MT066013!F55</f>
        <v>-321610.73</v>
      </c>
      <c r="G56" s="4">
        <f>adm066051!G55+'gaas 04320'!G55+'Küte 043601'!G57+'küte 043602'!G55+'HV 052001'!G55+'HV 052003'!G55+'HV 052004'!G55+'JV 063001'!G55+'JV 063003'!G55+'JV 063004'!G55+'JV 063005'!G55+'JV 063006'!G55+'JV 063007'!G55+'El 064001'!G55+'EH 066011'!G55+MT066013!G55</f>
        <v>-329889.38999999996</v>
      </c>
      <c r="H56" s="7">
        <f t="shared" si="0"/>
        <v>-268987.83</v>
      </c>
      <c r="I56" s="40">
        <f>adm066051!I55+'gaas 04320'!I55+'Küte 043601'!I57+'küte 043602'!I55+'HV 052001'!I55+'HV 052003'!I55+'HV 052004'!I55+'JV 063001'!I55+'JV 063003'!I55+'JV 063004'!I55+'JV 063005'!I55+'JV 063006'!I55+'JV 063007'!I55+'El 064001'!I55+'EH 066011'!I55+MT066013!I55</f>
        <v>-23080.029999999995</v>
      </c>
      <c r="J56" s="40">
        <f>adm066051!J55+'gaas 04320'!J55+'Küte 043601'!J57+'küte 043602'!J55+'HV 052001'!J55+'HV 052003'!J55+'HV 052004'!J55+'JV 063001'!J55+'JV 063003'!J55+'JV 063004'!J55+'JV 063005'!J55+'JV 063006'!J55+'JV 063007'!J55+'El 064001'!J55+'EH 066011'!J55+MT066013!J55</f>
        <v>-21885.579999999998</v>
      </c>
      <c r="K56" s="40">
        <f>adm066051!K55+'gaas 04320'!K55+'Küte 043601'!K57+'küte 043602'!K55+'HV 052001'!K55+'HV 052003'!K55+'HV 052004'!K55+'JV 063001'!K55+'JV 063003'!K55+'JV 063004'!K55+'JV 063005'!K55+'JV 063006'!K55+'JV 063007'!K55+'El 064001'!K55+'EH 066011'!K55+MT066013!K55</f>
        <v>-19678.710000000003</v>
      </c>
      <c r="L56" s="40">
        <f>adm066051!L55+'gaas 04320'!L55+'Küte 043601'!L57+'küte 043602'!L55+'HV 052001'!L55+'HV 052003'!L55+'HV 052004'!L55+'JV 063001'!L55+'JV 063003'!L55+'JV 063004'!L55+'JV 063005'!L55+'JV 063006'!L55+'JV 063007'!L55+'El 064001'!L55+'EH 066011'!L55+MT066013!L55</f>
        <v>-20987.930000000008</v>
      </c>
      <c r="M56" s="40">
        <f>adm066051!M55+'gaas 04320'!M55+'Küte 043601'!M57+'küte 043602'!M55+'HV 052001'!M55+'HV 052003'!M55+'HV 052004'!M55+'JV 063001'!M55+'JV 063003'!M55+'JV 063004'!M55+'JV 063005'!M55+'JV 063006'!M55+'JV 063007'!M55+'El 064001'!M55+'EH 066011'!M55+MT066013!M55</f>
        <v>-21540.520000000008</v>
      </c>
      <c r="N56" s="4">
        <f>adm066051!N55+'gaas 04320'!N55+'Küte 043601'!N57+'küte 043602'!N55+'HV 052001'!N55+'HV 052003'!N55+'HV 052004'!N55+'JV 063001'!N55+'JV 063003'!N55+'JV 063004'!N55+'JV 063005'!N55+'JV 063006'!N55+'JV 063007'!N55+'El 064001'!N55+'EH 066011'!N55+MT066013!N55</f>
        <v>-21439.219999999998</v>
      </c>
      <c r="O56" s="4">
        <f>adm066051!O55+'gaas 04320'!O55+'Küte 043601'!O57+'küte 043602'!O55+'HV 052001'!O55+'HV 052003'!O55+'HV 052004'!O55+'JV 063001'!O55+'JV 063003'!O55+'JV 063004'!O55+'JV 063005'!O55+'JV 063006'!O55+'JV 063007'!O55+'El 064001'!O55+'EH 066011'!O55+MT066013!O55</f>
        <v>-23023.940000000002</v>
      </c>
      <c r="P56" s="4">
        <f>adm066051!P55+'gaas 04320'!P55+'Küte 043601'!P57+'küte 043602'!P55+'HV 052001'!P55+'HV 052003'!P55+'HV 052004'!P55+'JV 063001'!P55+'JV 063003'!P55+'JV 063004'!P55+'JV 063005'!P55+'JV 063006'!P55+'JV 063007'!P55+'El 064001'!P55+'EH 066011'!P55+MT066013!P55</f>
        <v>-24602.88</v>
      </c>
      <c r="Q56" s="4">
        <f>adm066051!Q55+'gaas 04320'!Q55+'Küte 043601'!Q57+'küte 043602'!Q55+'HV 052001'!Q55+'HV 052003'!Q55+'HV 052004'!Q55+'JV 063001'!Q55+'JV 063003'!Q55+'JV 063004'!Q55+'JV 063005'!Q55+'JV 063006'!Q55+'JV 063007'!Q55+'El 064001'!Q55+'EH 066011'!Q55+MT066013!Q55</f>
        <v>-24732.84</v>
      </c>
      <c r="R56" s="4">
        <f>adm066051!R55+'gaas 04320'!R55+'Küte 043601'!R57+'küte 043602'!R55+'HV 052001'!R55+'HV 052003'!R55+'HV 052004'!R55+'JV 063001'!R55+'JV 063003'!R55+'JV 063004'!R55+'JV 063005'!R55+'JV 063006'!R55+'JV 063007'!R55+'El 064001'!R55+'EH 066011'!R55+MT066013!R55</f>
        <v>-24032.760000000002</v>
      </c>
      <c r="S56" s="4">
        <f>adm066051!S55+'gaas 04320'!S55+'Küte 043601'!S57+'küte 043602'!S55+'HV 052001'!S55+'HV 052003'!S55+'HV 052004'!S55+'JV 063001'!S55+'JV 063003'!S55+'JV 063004'!S55+'JV 063005'!S55+'JV 063006'!S55+'JV 063007'!S55+'El 064001'!S55+'EH 066011'!S55+MT066013!S55</f>
        <v>-22521.260000000002</v>
      </c>
      <c r="T56" s="4">
        <f>adm066051!T55+'gaas 04320'!T55+'Küte 043601'!T57+'küte 043602'!T55+'HV 052001'!T55+'HV 052003'!T55+'HV 052004'!T55+'JV 063001'!T55+'JV 063003'!T55+'JV 063004'!T55+'JV 063005'!T55+'JV 063006'!T55+'JV 063007'!T55+'El 064001'!T55+'EH 066011'!T55+MT066013!T55</f>
        <v>-21462.160000000003</v>
      </c>
    </row>
    <row r="57" spans="1:20" ht="12.75">
      <c r="A57" s="6" t="s">
        <v>34</v>
      </c>
      <c r="B57" s="6" t="s">
        <v>10</v>
      </c>
      <c r="C57" s="6" t="s">
        <v>13</v>
      </c>
      <c r="D57" s="6" t="s">
        <v>4</v>
      </c>
      <c r="E57" s="6" t="s">
        <v>63</v>
      </c>
      <c r="F57" s="4">
        <f>adm066051!F56+'gaas 04320'!F56+'Küte 043601'!F58+'küte 043602'!F56+'HV 052001'!F56+'HV 052003'!F56+'HV 052004'!F56+'JV 063001'!F56+'JV 063003'!F56+'JV 063004'!F56+'JV 063005'!F56+'JV 063006'!F56+'JV 063007'!F56+'El 064001'!F56+'EH 066011'!F56+MT066013!F56</f>
        <v>-322360.26999999996</v>
      </c>
      <c r="G57" s="4">
        <f>adm066051!G56+'gaas 04320'!G56+'Küte 043601'!G58+'küte 043602'!G56+'HV 052001'!G56+'HV 052003'!G56+'HV 052004'!G56+'JV 063001'!G56+'JV 063003'!G56+'JV 063004'!G56+'JV 063005'!G56+'JV 063006'!G56+'JV 063007'!G56+'El 064001'!G56+'EH 066011'!G56+MT066013!G56</f>
        <v>-350673.17</v>
      </c>
      <c r="H57" s="7">
        <f t="shared" si="0"/>
        <v>-268693.55000000005</v>
      </c>
      <c r="I57" s="40">
        <f>adm066051!I56+'gaas 04320'!I56+'Küte 043601'!I58+'küte 043602'!I56+'HV 052001'!I56+'HV 052003'!I56+'HV 052004'!I56+'JV 063001'!I56+'JV 063003'!I56+'JV 063004'!I56+'JV 063005'!I56+'JV 063006'!I56+'JV 063007'!I56+'El 064001'!I56+'EH 066011'!I56+MT066013!I56</f>
        <v>-23080.029999999995</v>
      </c>
      <c r="J57" s="40">
        <f>adm066051!J56+'gaas 04320'!J56+'Küte 043601'!J58+'küte 043602'!J56+'HV 052001'!J56+'HV 052003'!J56+'HV 052004'!J56+'JV 063001'!J56+'JV 063003'!J56+'JV 063004'!J56+'JV 063005'!J56+'JV 063006'!J56+'JV 063007'!J56+'El 064001'!J56+'EH 066011'!J56+MT066013!J56</f>
        <v>-21885.579999999998</v>
      </c>
      <c r="K57" s="40">
        <f>adm066051!K56+'gaas 04320'!K56+'Küte 043601'!K58+'küte 043602'!K56+'HV 052001'!K56+'HV 052003'!K56+'HV 052004'!K56+'JV 063001'!K56+'JV 063003'!K56+'JV 063004'!K56+'JV 063005'!K56+'JV 063006'!K56+'JV 063007'!K56+'El 064001'!K56+'EH 066011'!K56+MT066013!K56</f>
        <v>-19323.24</v>
      </c>
      <c r="L57" s="40">
        <f>adm066051!L56+'gaas 04320'!L56+'Küte 043601'!L58+'küte 043602'!L56+'HV 052001'!L56+'HV 052003'!L56+'HV 052004'!L56+'JV 063001'!L56+'JV 063003'!L56+'JV 063004'!L56+'JV 063005'!L56+'JV 063006'!L56+'JV 063007'!L56+'El 064001'!L56+'EH 066011'!L56+MT066013!L56</f>
        <v>-20987.930000000008</v>
      </c>
      <c r="M57" s="40">
        <f>adm066051!M56+'gaas 04320'!M56+'Küte 043601'!M58+'küte 043602'!M56+'HV 052001'!M56+'HV 052003'!M56+'HV 052004'!M56+'JV 063001'!M56+'JV 063003'!M56+'JV 063004'!M56+'JV 063005'!M56+'JV 063006'!M56+'JV 063007'!M56+'El 064001'!M56+'EH 066011'!M56+MT066013!M56</f>
        <v>-21540.520000000008</v>
      </c>
      <c r="N57" s="4">
        <f>adm066051!N56+'gaas 04320'!N56+'Küte 043601'!N58+'küte 043602'!N56+'HV 052001'!N56+'HV 052003'!N56+'HV 052004'!N56+'JV 063001'!N56+'JV 063003'!N56+'JV 063004'!N56+'JV 063005'!N56+'JV 063006'!N56+'JV 063007'!N56+'El 064001'!N56+'EH 066011'!N56+MT066013!N56</f>
        <v>-21439.219999999998</v>
      </c>
      <c r="O57" s="4">
        <f>adm066051!O56+'gaas 04320'!O56+'Küte 043601'!O58+'küte 043602'!O56+'HV 052001'!O56+'HV 052003'!O56+'HV 052004'!O56+'JV 063001'!O56+'JV 063003'!O56+'JV 063004'!O56+'JV 063005'!O56+'JV 063006'!O56+'JV 063007'!O56+'El 064001'!O56+'EH 066011'!O56+MT066013!O56</f>
        <v>-23023.940000000002</v>
      </c>
      <c r="P57" s="4">
        <f>adm066051!P56+'gaas 04320'!P56+'Küte 043601'!P58+'küte 043602'!P56+'HV 052001'!P56+'HV 052003'!P56+'HV 052004'!P56+'JV 063001'!P56+'JV 063003'!P56+'JV 063004'!P56+'JV 063005'!P56+'JV 063006'!P56+'JV 063007'!P56+'El 064001'!P56+'EH 066011'!P56+MT066013!P56</f>
        <v>-24606.510000000002</v>
      </c>
      <c r="Q57" s="4">
        <f>adm066051!Q56+'gaas 04320'!Q56+'Küte 043601'!Q58+'küte 043602'!Q56+'HV 052001'!Q56+'HV 052003'!Q56+'HV 052004'!Q56+'JV 063001'!Q56+'JV 063003'!Q56+'JV 063004'!Q56+'JV 063005'!Q56+'JV 063006'!Q56+'JV 063007'!Q56+'El 064001'!Q56+'EH 066011'!Q56+MT066013!Q56</f>
        <v>-24732.84</v>
      </c>
      <c r="R57" s="4">
        <f>adm066051!R56+'gaas 04320'!R56+'Küte 043601'!R58+'küte 043602'!R56+'HV 052001'!R56+'HV 052003'!R56+'HV 052004'!R56+'JV 063001'!R56+'JV 063003'!R56+'JV 063004'!R56+'JV 063005'!R56+'JV 063006'!R56+'JV 063007'!R56+'El 064001'!R56+'EH 066011'!R56+MT066013!R56</f>
        <v>-24032.760000000002</v>
      </c>
      <c r="S57" s="4">
        <f>adm066051!S56+'gaas 04320'!S56+'Küte 043601'!S58+'küte 043602'!S56+'HV 052001'!S56+'HV 052003'!S56+'HV 052004'!S56+'JV 063001'!S56+'JV 063003'!S56+'JV 063004'!S56+'JV 063005'!S56+'JV 063006'!S56+'JV 063007'!S56+'El 064001'!S56+'EH 066011'!S56+MT066013!S56</f>
        <v>-22570.299999999996</v>
      </c>
      <c r="T57" s="4">
        <f>adm066051!T56+'gaas 04320'!T56+'Küte 043601'!T58+'küte 043602'!T56+'HV 052001'!T56+'HV 052003'!T56+'HV 052004'!T56+'JV 063001'!T56+'JV 063003'!T56+'JV 063004'!T56+'JV 063005'!T56+'JV 063006'!T56+'JV 063007'!T56+'El 064001'!T56+'EH 066011'!T56+MT066013!T56</f>
        <v>-21470.680000000004</v>
      </c>
    </row>
    <row r="58" spans="1:20" ht="12.75">
      <c r="A58" s="6" t="s">
        <v>34</v>
      </c>
      <c r="B58" s="6" t="s">
        <v>10</v>
      </c>
      <c r="C58" s="6" t="s">
        <v>10</v>
      </c>
      <c r="D58" s="6" t="s">
        <v>4</v>
      </c>
      <c r="E58" s="6" t="s">
        <v>64</v>
      </c>
      <c r="F58" s="4">
        <f>adm066051!F57+'gaas 04320'!F57+'Küte 043601'!F59+'küte 043602'!F57+'HV 052001'!F57+'HV 052003'!F57+'HV 052004'!F57+'JV 063001'!F57+'JV 063003'!F57+'JV 063004'!F57+'JV 063005'!F57+'JV 063006'!F57+'JV 063007'!F57+'El 064001'!F57+'EH 066011'!F57+MT066013!F57</f>
        <v>749.54</v>
      </c>
      <c r="G58" s="4">
        <f>adm066051!G57+'gaas 04320'!G57+'Küte 043601'!G59+'küte 043602'!G57+'HV 052001'!G57+'HV 052003'!G57+'HV 052004'!G57+'JV 063001'!G57+'JV 063003'!G57+'JV 063004'!G57+'JV 063005'!G57+'JV 063006'!G57+'JV 063007'!G57+'El 064001'!G57+'EH 066011'!G57+MT066013!G57</f>
        <v>20783.78</v>
      </c>
      <c r="H58" s="7">
        <f t="shared" si="0"/>
        <v>-297.91</v>
      </c>
      <c r="I58" s="40">
        <f>adm066051!I57+'gaas 04320'!I57+'Küte 043601'!I59+'küte 043602'!I57+'HV 052001'!I57+'HV 052003'!I57+'HV 052004'!I57+'JV 063001'!I57+'JV 063003'!I57+'JV 063004'!I57+'JV 063005'!I57+'JV 063006'!I57+'JV 063007'!I57+'El 064001'!I57+'EH 066011'!I57+MT066013!I57</f>
        <v>0</v>
      </c>
      <c r="J58" s="40">
        <f>adm066051!J57+'gaas 04320'!J57+'Küte 043601'!J59+'küte 043602'!J57+'HV 052001'!J57+'HV 052003'!J57+'HV 052004'!J57+'JV 063001'!J57+'JV 063003'!J57+'JV 063004'!J57+'JV 063005'!J57+'JV 063006'!J57+'JV 063007'!J57+'El 064001'!J57+'EH 066011'!J57+MT066013!J57</f>
        <v>0</v>
      </c>
      <c r="K58" s="40">
        <f>adm066051!K57+'gaas 04320'!K57+'Küte 043601'!K59+'küte 043602'!K57+'HV 052001'!K57+'HV 052003'!K57+'HV 052004'!K57+'JV 063001'!K57+'JV 063003'!K57+'JV 063004'!K57+'JV 063005'!K57+'JV 063006'!K57+'JV 063007'!K57+'El 064001'!K57+'EH 066011'!K57+MT066013!K57</f>
        <v>-355.47</v>
      </c>
      <c r="L58" s="40">
        <f>adm066051!L57+'gaas 04320'!L57+'Küte 043601'!L59+'küte 043602'!L57+'HV 052001'!L57+'HV 052003'!L57+'HV 052004'!L57+'JV 063001'!L57+'JV 063003'!L57+'JV 063004'!L57+'JV 063005'!L57+'JV 063006'!L57+'JV 063007'!L57+'El 064001'!L57+'EH 066011'!L57+MT066013!L57</f>
        <v>0</v>
      </c>
      <c r="M58" s="40">
        <f>adm066051!M57+'gaas 04320'!M57+'Küte 043601'!M59+'küte 043602'!M57+'HV 052001'!M57+'HV 052003'!M57+'HV 052004'!M57+'JV 063001'!M57+'JV 063003'!M57+'JV 063004'!M57+'JV 063005'!M57+'JV 063006'!M57+'JV 063007'!M57+'El 064001'!M57+'EH 066011'!M57+MT066013!M57</f>
        <v>0</v>
      </c>
      <c r="N58" s="4">
        <f>adm066051!N57+'gaas 04320'!N57+'Küte 043601'!N59+'küte 043602'!N57+'HV 052001'!N57+'HV 052003'!N57+'HV 052004'!N57+'JV 063001'!N57+'JV 063003'!N57+'JV 063004'!N57+'JV 063005'!N57+'JV 063006'!N57+'JV 063007'!N57+'El 064001'!N57+'EH 066011'!N57+MT066013!N57</f>
        <v>0</v>
      </c>
      <c r="O58" s="4">
        <f>adm066051!O57+'gaas 04320'!O57+'Küte 043601'!O59+'küte 043602'!O57+'HV 052001'!O57+'HV 052003'!O57+'HV 052004'!O57+'JV 063001'!O57+'JV 063003'!O57+'JV 063004'!O57+'JV 063005'!O57+'JV 063006'!O57+'JV 063007'!O57+'El 064001'!O57+'EH 066011'!O57+MT066013!O57</f>
        <v>0</v>
      </c>
      <c r="P58" s="4">
        <f>adm066051!P57+'gaas 04320'!P57+'Küte 043601'!P59+'küte 043602'!P57+'HV 052001'!P57+'HV 052003'!P57+'HV 052004'!P57+'JV 063001'!P57+'JV 063003'!P57+'JV 063004'!P57+'JV 063005'!P57+'JV 063006'!P57+'JV 063007'!P57+'El 064001'!P57+'EH 066011'!P57+MT066013!P57</f>
        <v>0</v>
      </c>
      <c r="Q58" s="4">
        <f>adm066051!Q57+'gaas 04320'!Q57+'Küte 043601'!Q59+'küte 043602'!Q57+'HV 052001'!Q57+'HV 052003'!Q57+'HV 052004'!Q57+'JV 063001'!Q57+'JV 063003'!Q57+'JV 063004'!Q57+'JV 063005'!Q57+'JV 063006'!Q57+'JV 063007'!Q57+'El 064001'!Q57+'EH 066011'!Q57+MT066013!Q57</f>
        <v>0</v>
      </c>
      <c r="R58" s="4">
        <f>adm066051!R57+'gaas 04320'!R57+'Küte 043601'!R59+'küte 043602'!R57+'HV 052001'!R57+'HV 052003'!R57+'HV 052004'!R57+'JV 063001'!R57+'JV 063003'!R57+'JV 063004'!R57+'JV 063005'!R57+'JV 063006'!R57+'JV 063007'!R57+'El 064001'!R57+'EH 066011'!R57+MT066013!R57</f>
        <v>0</v>
      </c>
      <c r="S58" s="4">
        <f>adm066051!S57+'gaas 04320'!S57+'Küte 043601'!S59+'küte 043602'!S57+'HV 052001'!S57+'HV 052003'!S57+'HV 052004'!S57+'JV 063001'!S57+'JV 063003'!S57+'JV 063004'!S57+'JV 063005'!S57+'JV 063006'!S57+'JV 063007'!S57+'El 064001'!S57+'EH 066011'!S57+MT066013!S57</f>
        <v>49.04</v>
      </c>
      <c r="T58" s="4">
        <f>adm066051!T57+'gaas 04320'!T57+'Küte 043601'!T59+'küte 043602'!T57+'HV 052001'!T57+'HV 052003'!T57+'HV 052004'!T57+'JV 063001'!T57+'JV 063003'!T57+'JV 063004'!T57+'JV 063005'!T57+'JV 063006'!T57+'JV 063007'!T57+'El 064001'!T57+'EH 066011'!T57+MT066013!T57</f>
        <v>8.52</v>
      </c>
    </row>
    <row r="59" spans="1:20" ht="12.75">
      <c r="A59" s="6">
        <v>6</v>
      </c>
      <c r="B59" s="6">
        <v>8</v>
      </c>
      <c r="C59" s="6">
        <v>0</v>
      </c>
      <c r="D59" s="6">
        <v>0</v>
      </c>
      <c r="E59" s="6" t="s">
        <v>104</v>
      </c>
      <c r="F59" s="4">
        <f>adm066051!F58+'gaas 04320'!F58+'Küte 043601'!F60+'küte 043602'!F58+'HV 052001'!F58+'HV 052003'!F58+'HV 052004'!F58+'JV 063001'!F58+'JV 063003'!F58+'JV 063004'!F58+'JV 063005'!F58+'JV 063006'!F58+'JV 063007'!F58+'El 064001'!F58+'EH 066011'!F58+MT066013!F58</f>
        <v>0</v>
      </c>
      <c r="G59" s="4">
        <f>adm066051!G58+'gaas 04320'!G58+'Küte 043601'!G60+'küte 043602'!G58+'HV 052001'!G58+'HV 052003'!G58+'HV 052004'!G58+'JV 063001'!G58+'JV 063003'!G58+'JV 063004'!G58+'JV 063005'!G58+'JV 063006'!G58+'JV 063007'!G58+'El 064001'!G58+'EH 066011'!G58+MT066013!G58</f>
        <v>-365</v>
      </c>
      <c r="H59" s="7">
        <f t="shared" si="0"/>
        <v>0</v>
      </c>
      <c r="I59" s="40">
        <f>adm066051!I58+'gaas 04320'!I58+'Küte 043601'!I60+'küte 043602'!I58+'HV 052001'!I58+'HV 052003'!I58+'HV 052004'!I58+'JV 063001'!I58+'JV 063003'!I58+'JV 063004'!I58+'JV 063005'!I58+'JV 063006'!I58+'JV 063007'!I58+'El 064001'!I58+'EH 066011'!I58+MT066013!I58</f>
        <v>0</v>
      </c>
      <c r="J59" s="40">
        <f>adm066051!J58+'gaas 04320'!J58+'Küte 043601'!J60+'küte 043602'!J58+'HV 052001'!J58+'HV 052003'!J58+'HV 052004'!J58+'JV 063001'!J58+'JV 063003'!J58+'JV 063004'!J58+'JV 063005'!J58+'JV 063006'!J58+'JV 063007'!J58+'El 064001'!J58+'EH 066011'!J58+MT066013!J58</f>
        <v>0</v>
      </c>
      <c r="K59" s="40">
        <f>adm066051!K58+'gaas 04320'!K58+'Küte 043601'!K60+'küte 043602'!K58+'HV 052001'!K58+'HV 052003'!K58+'HV 052004'!K58+'JV 063001'!K58+'JV 063003'!K58+'JV 063004'!K58+'JV 063005'!K58+'JV 063006'!K58+'JV 063007'!K58+'El 064001'!K58+'EH 066011'!K58+MT066013!K58</f>
        <v>0</v>
      </c>
      <c r="L59" s="40">
        <f>adm066051!L58+'gaas 04320'!L58+'Küte 043601'!L60+'küte 043602'!L58+'HV 052001'!L58+'HV 052003'!L58+'HV 052004'!L58+'JV 063001'!L58+'JV 063003'!L58+'JV 063004'!L58+'JV 063005'!L58+'JV 063006'!L58+'JV 063007'!L58+'El 064001'!L58+'EH 066011'!L58+MT066013!L58</f>
        <v>0</v>
      </c>
      <c r="M59" s="40">
        <f>adm066051!M58+'gaas 04320'!M58+'Küte 043601'!M60+'küte 043602'!M58+'HV 052001'!M58+'HV 052003'!M58+'HV 052004'!M58+'JV 063001'!M58+'JV 063003'!M58+'JV 063004'!M58+'JV 063005'!M58+'JV 063006'!M58+'JV 063007'!M58+'El 064001'!M58+'EH 066011'!M58+MT066013!M58</f>
        <v>0</v>
      </c>
      <c r="N59" s="4">
        <f>adm066051!N58+'gaas 04320'!N58+'Küte 043601'!N60+'küte 043602'!N58+'HV 052001'!N58+'HV 052003'!N58+'HV 052004'!N58+'JV 063001'!N58+'JV 063003'!N58+'JV 063004'!N58+'JV 063005'!N58+'JV 063006'!N58+'JV 063007'!N58+'El 064001'!N58+'EH 066011'!N58+MT066013!N58</f>
        <v>0</v>
      </c>
      <c r="O59" s="4">
        <f>adm066051!O58+'gaas 04320'!O58+'Küte 043601'!O60+'küte 043602'!O58+'HV 052001'!O58+'HV 052003'!O58+'HV 052004'!O58+'JV 063001'!O58+'JV 063003'!O58+'JV 063004'!O58+'JV 063005'!O58+'JV 063006'!O58+'JV 063007'!O58+'El 064001'!O58+'EH 066011'!O58+MT066013!O58</f>
        <v>0</v>
      </c>
      <c r="P59" s="4">
        <f>adm066051!P58+'gaas 04320'!P58+'Küte 043601'!P60+'küte 043602'!P58+'HV 052001'!P58+'HV 052003'!P58+'HV 052004'!P58+'JV 063001'!P58+'JV 063003'!P58+'JV 063004'!P58+'JV 063005'!P58+'JV 063006'!P58+'JV 063007'!P58+'El 064001'!P58+'EH 066011'!P58+MT066013!P58</f>
        <v>0</v>
      </c>
      <c r="Q59" s="4">
        <f>adm066051!Q58+'gaas 04320'!Q58+'Küte 043601'!Q60+'küte 043602'!Q58+'HV 052001'!Q58+'HV 052003'!Q58+'HV 052004'!Q58+'JV 063001'!Q58+'JV 063003'!Q58+'JV 063004'!Q58+'JV 063005'!Q58+'JV 063006'!Q58+'JV 063007'!Q58+'El 064001'!Q58+'EH 066011'!Q58+MT066013!Q58</f>
        <v>0</v>
      </c>
      <c r="R59" s="4">
        <f>adm066051!R58+'gaas 04320'!R58+'Küte 043601'!R60+'küte 043602'!R58+'HV 052001'!R58+'HV 052003'!R58+'HV 052004'!R58+'JV 063001'!R58+'JV 063003'!R58+'JV 063004'!R58+'JV 063005'!R58+'JV 063006'!R58+'JV 063007'!R58+'El 064001'!R58+'EH 066011'!R58+MT066013!R58</f>
        <v>0</v>
      </c>
      <c r="S59" s="4">
        <f>adm066051!S58+'gaas 04320'!S58+'Küte 043601'!S60+'küte 043602'!S58+'HV 052001'!S58+'HV 052003'!S58+'HV 052004'!S58+'JV 063001'!S58+'JV 063003'!S58+'JV 063004'!S58+'JV 063005'!S58+'JV 063006'!S58+'JV 063007'!S58+'El 064001'!S58+'EH 066011'!S58+MT066013!S58</f>
        <v>0</v>
      </c>
      <c r="T59" s="4">
        <f>adm066051!T58+'gaas 04320'!T58+'Küte 043601'!T60+'küte 043602'!T58+'HV 052001'!T58+'HV 052003'!T58+'HV 052004'!T58+'JV 063001'!T58+'JV 063003'!T58+'JV 063004'!T58+'JV 063005'!T58+'JV 063006'!T58+'JV 063007'!T58+'El 064001'!T58+'EH 066011'!T58+MT066013!T58</f>
        <v>0</v>
      </c>
    </row>
    <row r="60" spans="1:20" ht="12.75">
      <c r="A60" s="16"/>
      <c r="B60" s="16"/>
      <c r="C60" s="16"/>
      <c r="D60" s="16"/>
      <c r="E60" s="17" t="s">
        <v>65</v>
      </c>
      <c r="F60" s="7">
        <f>adm066051!F59+'gaas 04320'!F59+'Küte 043601'!F61+'küte 043602'!F59+'HV 052001'!F59+'HV 052003'!F59+'HV 052004'!F59+'JV 063001'!F59+'JV 063003'!F59+'JV 063004'!F59+'JV 063005'!F59+'JV 063006'!F59+'JV 063007'!F59+'El 064001'!F59+'EH 066011'!F59+MT066013!F59</f>
        <v>-451310.6899999993</v>
      </c>
      <c r="G60" s="7">
        <f>adm066051!G59+'gaas 04320'!G59+'Küte 043601'!G61+'küte 043602'!G59+'HV 052001'!G59+'HV 052003'!G59+'HV 052004'!G59+'JV 063001'!G59+'JV 063003'!G59+'JV 063004'!G59+'JV 063005'!G59+'JV 063006'!G59+'JV 063007'!G59+'El 064001'!G59+'EH 066011'!G59+MT066013!G59</f>
        <v>189781.15000000063</v>
      </c>
      <c r="H60" s="7">
        <f t="shared" si="0"/>
        <v>236003.84199999983</v>
      </c>
      <c r="I60" s="43">
        <f>adm066051!I59+'gaas 04320'!I59+'Küte 043601'!I61+'küte 043602'!I59+'HV 052001'!I59+'HV 052003'!I59+'HV 052004'!I59+'JV 063001'!I59+'JV 063003'!I59+'JV 063004'!I59+'JV 063005'!I59+'JV 063006'!I59+'JV 063007'!I59+'El 064001'!I59+'EH 066011'!I59+MT066013!I59</f>
        <v>289043.6400000001</v>
      </c>
      <c r="J60" s="43">
        <f>adm066051!J59+'gaas 04320'!J59+'Küte 043601'!J61+'küte 043602'!J59+'HV 052001'!J59+'HV 052003'!J59+'HV 052004'!J59+'JV 063001'!J59+'JV 063003'!J59+'JV 063004'!J59+'JV 063005'!J59+'JV 063006'!J59+'JV 063007'!J59+'El 064001'!J59+'EH 066011'!J59+MT066013!J59</f>
        <v>194551.78000000003</v>
      </c>
      <c r="K60" s="43">
        <f>adm066051!K59+'gaas 04320'!K59+'Küte 043601'!K61+'küte 043602'!K59+'HV 052001'!K59+'HV 052003'!K59+'HV 052004'!K59+'JV 063001'!K59+'JV 063003'!K59+'JV 063004'!K59+'JV 063005'!K59+'JV 063006'!K59+'JV 063007'!K59+'El 064001'!K59+'EH 066011'!K59+MT066013!K59</f>
        <v>77342.75999999997</v>
      </c>
      <c r="L60" s="43">
        <f>adm066051!L59+'gaas 04320'!L59+'Küte 043601'!L61+'küte 043602'!L59+'HV 052001'!L59+'HV 052003'!L59+'HV 052004'!L59+'JV 063001'!L59+'JV 063003'!L59+'JV 063004'!L59+'JV 063005'!L59+'JV 063006'!L59+'JV 063007'!L59+'El 064001'!L59+'EH 066011'!L59+MT066013!L59</f>
        <v>69687.66</v>
      </c>
      <c r="M60" s="43">
        <f>adm066051!M59+'gaas 04320'!M59+'Küte 043601'!M61+'küte 043602'!M59+'HV 052001'!M59+'HV 052003'!M59+'HV 052004'!M59+'JV 063001'!M59+'JV 063003'!M59+'JV 063004'!M59+'JV 063005'!M59+'JV 063006'!M59+'JV 063007'!M59+'El 064001'!M59+'EH 066011'!M59+MT066013!M59</f>
        <v>72445.73999999998</v>
      </c>
      <c r="N60" s="7">
        <f>adm066051!N59+'gaas 04320'!N59+'Küte 043601'!N61+'küte 043602'!N59+'HV 052001'!N59+'HV 052003'!N59+'HV 052004'!N59+'JV 063001'!N59+'JV 063003'!N59+'JV 063004'!N59+'JV 063005'!N59+'JV 063006'!N59+'JV 063007'!N59+'El 064001'!N59+'EH 066011'!N59+MT066013!N59</f>
        <v>-179183.56640000004</v>
      </c>
      <c r="O60" s="7">
        <f>adm066051!O59+'gaas 04320'!O59+'Küte 043601'!O61+'küte 043602'!O59+'HV 052001'!O59+'HV 052003'!O59+'HV 052004'!O59+'JV 063001'!O59+'JV 063003'!O59+'JV 063004'!O59+'JV 063005'!O59+'JV 063006'!O59+'JV 063007'!O59+'El 064001'!O59+'EH 066011'!O59+MT066013!O59</f>
        <v>-261572.28960000002</v>
      </c>
      <c r="P60" s="7">
        <f>adm066051!P59+'gaas 04320'!P59+'Küte 043601'!P61+'küte 043602'!P59+'HV 052001'!P59+'HV 052003'!P59+'HV 052004'!P59+'JV 063001'!P59+'JV 063003'!P59+'JV 063004'!P59+'JV 063005'!P59+'JV 063006'!P59+'JV 063007'!P59+'El 064001'!P59+'EH 066011'!P59+MT066013!P59</f>
        <v>-272995.26360000006</v>
      </c>
      <c r="Q60" s="7">
        <f>adm066051!Q59+'gaas 04320'!Q59+'Küte 043601'!Q61+'küte 043602'!Q59+'HV 052001'!Q59+'HV 052003'!Q59+'HV 052004'!Q59+'JV 063001'!Q59+'JV 063003'!Q59+'JV 063004'!Q59+'JV 063005'!Q59+'JV 063006'!Q59+'JV 063007'!Q59+'El 064001'!Q59+'EH 066011'!Q59+MT066013!Q59</f>
        <v>-21226.920000000042</v>
      </c>
      <c r="R60" s="7">
        <f>adm066051!R59+'gaas 04320'!R59+'Küte 043601'!R61+'küte 043602'!R59+'HV 052001'!R59+'HV 052003'!R59+'HV 052004'!R59+'JV 063001'!R59+'JV 063003'!R59+'JV 063004'!R59+'JV 063005'!R59+'JV 063006'!R59+'JV 063007'!R59+'El 064001'!R59+'EH 066011'!R59+MT066013!R59</f>
        <v>-39080.888399999996</v>
      </c>
      <c r="S60" s="7">
        <f>adm066051!S59+'gaas 04320'!S59+'Küte 043601'!S61+'küte 043602'!S59+'HV 052001'!S59+'HV 052003'!S59+'HV 052004'!S59+'JV 063001'!S59+'JV 063003'!S59+'JV 063004'!S59+'JV 063005'!S59+'JV 063006'!S59+'JV 063007'!S59+'El 064001'!S59+'EH 066011'!S59+MT066013!S59</f>
        <v>86316.69</v>
      </c>
      <c r="T60" s="7">
        <f>adm066051!T59+'gaas 04320'!T59+'Küte 043601'!T61+'küte 043602'!T59+'HV 052001'!T59+'HV 052003'!T59+'HV 052004'!T59+'JV 063001'!T59+'JV 063003'!T59+'JV 063004'!T59+'JV 063005'!T59+'JV 063006'!T59+'JV 063007'!T59+'El 064001'!T59+'EH 066011'!T59+MT066013!T59</f>
        <v>220674.49999999988</v>
      </c>
    </row>
    <row r="61" spans="5:9" ht="12.75">
      <c r="E61" s="19" t="s">
        <v>66</v>
      </c>
      <c r="F61" s="20"/>
      <c r="G61" s="20"/>
      <c r="H61" s="21">
        <f t="shared" si="0"/>
        <v>0</v>
      </c>
      <c r="I61" s="44"/>
    </row>
    <row r="62" spans="1:20" s="54" customFormat="1" ht="26.25">
      <c r="A62" s="52"/>
      <c r="B62" s="52"/>
      <c r="C62" s="52"/>
      <c r="D62" s="52"/>
      <c r="E62" s="53"/>
      <c r="F62" s="3" t="s">
        <v>0</v>
      </c>
      <c r="G62" s="3" t="s">
        <v>1</v>
      </c>
      <c r="H62" s="3" t="s">
        <v>265</v>
      </c>
      <c r="I62" s="45" t="s">
        <v>89</v>
      </c>
      <c r="J62" s="45" t="s">
        <v>90</v>
      </c>
      <c r="K62" s="45" t="s">
        <v>91</v>
      </c>
      <c r="L62" s="45" t="s">
        <v>92</v>
      </c>
      <c r="M62" s="45" t="s">
        <v>93</v>
      </c>
      <c r="N62" s="5" t="s">
        <v>94</v>
      </c>
      <c r="O62" s="5" t="s">
        <v>95</v>
      </c>
      <c r="P62" s="5" t="s">
        <v>96</v>
      </c>
      <c r="Q62" s="5" t="s">
        <v>97</v>
      </c>
      <c r="R62" s="5" t="s">
        <v>98</v>
      </c>
      <c r="S62" s="5" t="s">
        <v>99</v>
      </c>
      <c r="T62" s="5" t="s">
        <v>100</v>
      </c>
    </row>
    <row r="63" spans="5:20" ht="12.75">
      <c r="E63" s="18" t="s">
        <v>68</v>
      </c>
      <c r="F63" s="112"/>
      <c r="G63" s="112"/>
      <c r="H63" s="21">
        <f>SUM(I63:T63)</f>
        <v>1659275.64</v>
      </c>
      <c r="I63" s="44">
        <f>SUM(I64:I72)</f>
        <v>139110.69</v>
      </c>
      <c r="J63" s="44">
        <f>SUM(J64:J72)</f>
        <v>136377.05</v>
      </c>
      <c r="K63" s="44">
        <f>SUM(K64:K72)</f>
        <v>143741.19999999998</v>
      </c>
      <c r="L63" s="44">
        <f>SUM(L64:L72)</f>
        <v>148775.5</v>
      </c>
      <c r="M63" s="44">
        <f aca="true" t="shared" si="1" ref="M63:T63">SUM(M64:M72)</f>
        <v>130000.65000000001</v>
      </c>
      <c r="N63">
        <f t="shared" si="1"/>
        <v>116774.6</v>
      </c>
      <c r="O63">
        <f t="shared" si="1"/>
        <v>162570.90000000002</v>
      </c>
      <c r="P63">
        <f t="shared" si="1"/>
        <v>176220.65</v>
      </c>
      <c r="Q63">
        <f t="shared" si="1"/>
        <v>114509.15</v>
      </c>
      <c r="R63">
        <f t="shared" si="1"/>
        <v>141304.9</v>
      </c>
      <c r="S63">
        <f t="shared" si="1"/>
        <v>126727.85</v>
      </c>
      <c r="T63">
        <f t="shared" si="1"/>
        <v>123162.49999999999</v>
      </c>
    </row>
    <row r="64" spans="1:20" s="25" customFormat="1" ht="12.75">
      <c r="A64" s="22"/>
      <c r="B64" s="22"/>
      <c r="C64" s="22"/>
      <c r="D64" s="22"/>
      <c r="E64" s="22" t="s">
        <v>69</v>
      </c>
      <c r="F64" s="113"/>
      <c r="G64" s="113"/>
      <c r="H64" s="23">
        <f>SUM(I64:T64)</f>
        <v>1405393.85</v>
      </c>
      <c r="I64" s="40">
        <f>adm066051!I63+'gaas 04320'!I63+'Küte 043601'!I65+'küte 043602'!I63+'HV 052001'!I63+'HV 052003'!I63+'HV 052004'!I63+'JV 063001'!I63+'JV 063003'!I63+'JV 063004'!I63+'JV 063005'!I63+'JV 063006'!I63+'JV 063007'!I63+'El 064001'!I63+'EH 066011'!I63+MT066013!I63</f>
        <v>135056.25</v>
      </c>
      <c r="J64" s="40">
        <f>adm066051!J63+'gaas 04320'!J63+'Küte 043601'!J65+'küte 043602'!J63+'HV 052001'!J63+'HV 052003'!J63+'HV 052004'!J63+'JV 063001'!J63+'JV 063003'!J63+'JV 063004'!J63+'JV 063005'!J63+'JV 063006'!J63+'JV 063007'!J63+'El 064001'!J63+'EH 066011'!J63+MT066013!J63</f>
        <v>133095.94999999998</v>
      </c>
      <c r="K64" s="40">
        <f>adm066051!K63+'gaas 04320'!K63+'Küte 043601'!K65+'küte 043602'!K63+'HV 052001'!K63+'HV 052003'!K63+'HV 052004'!K63+'JV 063001'!K63+'JV 063003'!K63+'JV 063004'!K63+'JV 063005'!K63+'JV 063006'!K63+'JV 063007'!K63+'El 064001'!K63+'EH 066011'!K63+MT066013!K63</f>
        <v>135058.05</v>
      </c>
      <c r="L64" s="40">
        <f>adm066051!L63+'gaas 04320'!L63+'Küte 043601'!L65+'küte 043602'!L63+'HV 052001'!L63+'HV 052003'!L63+'HV 052004'!L63+'JV 063001'!L63+'JV 063003'!L63+'JV 063004'!L63+'JV 063005'!L63+'JV 063006'!L63+'JV 063007'!L63+'El 064001'!L63+'EH 066011'!L63+MT066013!L63</f>
        <v>123907.65000000001</v>
      </c>
      <c r="M64" s="40">
        <f>adm066051!M63+'gaas 04320'!M63+'Küte 043601'!M65+'küte 043602'!M63+'HV 052001'!M63+'HV 052003'!M63+'HV 052004'!M63+'JV 063001'!M63+'JV 063003'!M63+'JV 063004'!M63+'JV 063005'!M63+'JV 063006'!M63+'JV 063007'!M63+'El 064001'!M63+'EH 066011'!M63+MT066013!M63</f>
        <v>101113.95000000001</v>
      </c>
      <c r="N64" s="40">
        <f>adm066051!N63+'gaas 04320'!N63+'Küte 043601'!N65+'küte 043602'!N63+'HV 052001'!N63+'HV 052003'!N63+'HV 052004'!N63+'JV 063001'!N63+'JV 063003'!N63+'JV 063004'!N63+'JV 063005'!N63+'JV 063006'!N63+'JV 063007'!N63+'El 064001'!N63+'EH 066011'!N63+MT066013!N63</f>
        <v>100651.55</v>
      </c>
      <c r="O64" s="40">
        <f>adm066051!O63+'gaas 04320'!O63+'Küte 043601'!O65+'küte 043602'!O63+'HV 052001'!O63+'HV 052003'!O63+'HV 052004'!O63+'JV 063001'!O63+'JV 063003'!O63+'JV 063004'!O63+'JV 063005'!O63+'JV 063006'!O63+'JV 063007'!O63+'El 064001'!O63+'EH 066011'!O63+MT066013!O63</f>
        <v>92882.10000000002</v>
      </c>
      <c r="P64" s="40">
        <f>adm066051!P63+'gaas 04320'!P63+'Küte 043601'!P65+'küte 043602'!P63+'HV 052001'!P63+'HV 052003'!P63+'HV 052004'!P63+'JV 063001'!P63+'JV 063003'!P63+'JV 063004'!P63+'JV 063005'!P63+'JV 063006'!P63+'JV 063007'!P63+'El 064001'!P63+'EH 066011'!P63+MT066013!P63</f>
        <v>92782.45000000001</v>
      </c>
      <c r="Q64" s="40">
        <f>adm066051!Q63+'gaas 04320'!Q63+'Küte 043601'!Q65+'küte 043602'!Q63+'HV 052001'!Q63+'HV 052003'!Q63+'HV 052004'!Q63+'JV 063001'!Q63+'JV 063003'!Q63+'JV 063004'!Q63+'JV 063005'!Q63+'JV 063006'!Q63+'JV 063007'!Q63+'El 064001'!Q63+'EH 066011'!Q63+MT066013!Q63</f>
        <v>108474.84999999999</v>
      </c>
      <c r="R64" s="40">
        <f>adm066051!R63+'gaas 04320'!R63+'Küte 043601'!R65+'küte 043602'!R63+'HV 052001'!R63+'HV 052003'!R63+'HV 052004'!R63+'JV 063001'!R63+'JV 063003'!R63+'JV 063004'!R63+'JV 063005'!R63+'JV 063006'!R63+'JV 063007'!R63+'El 064001'!R63+'EH 066011'!R63+MT066013!R63</f>
        <v>125895.09999999999</v>
      </c>
      <c r="S64" s="40">
        <f>adm066051!S63+'gaas 04320'!S63+'Küte 043601'!S65+'küte 043602'!S63+'HV 052001'!S63+'HV 052003'!S63+'HV 052004'!S63+'JV 063001'!S63+'JV 063003'!S63+'JV 063004'!S63+'JV 063005'!S63+'JV 063006'!S63+'JV 063007'!S63+'El 064001'!S63+'EH 066011'!S63+MT066013!S63</f>
        <v>125422.85</v>
      </c>
      <c r="T64" s="40">
        <f>adm066051!T63+'gaas 04320'!T63+'Küte 043601'!T65+'küte 043602'!T63+'HV 052001'!T63+'HV 052003'!T63+'HV 052004'!T63+'JV 063001'!T63+'JV 063003'!T63+'JV 063004'!T63+'JV 063005'!T63+'JV 063006'!T63+'JV 063007'!T63+'El 064001'!T63+'EH 066011'!T63+MT066013!T63</f>
        <v>131053.09999999999</v>
      </c>
    </row>
    <row r="65" spans="1:20" s="25" customFormat="1" ht="12.75">
      <c r="A65" s="22"/>
      <c r="B65" s="22"/>
      <c r="C65" s="22"/>
      <c r="D65" s="22"/>
      <c r="E65" s="26" t="s">
        <v>70</v>
      </c>
      <c r="F65" s="113"/>
      <c r="G65" s="113"/>
      <c r="H65" s="23">
        <f aca="true" t="shared" si="2" ref="H65:H70">SUM(I65:T65)</f>
        <v>39937.94</v>
      </c>
      <c r="I65" s="40">
        <f>adm066051!I64+'gaas 04320'!I64+'Küte 043601'!I66+'küte 043602'!I64+'HV 052001'!I64+'HV 052003'!I64+'HV 052004'!I64+'JV 063001'!I64+'JV 063003'!I64+'JV 063004'!I64+'JV 063005'!I64+'JV 063006'!I64+'JV 063007'!I64+'El 064001'!I64+'EH 066011'!I64+MT066013!I64</f>
        <v>4054.44</v>
      </c>
      <c r="J65" s="40">
        <f>adm066051!J64+'gaas 04320'!J64+'Küte 043601'!J66+'küte 043602'!J64+'HV 052001'!J64+'HV 052003'!J64+'HV 052004'!J64+'JV 063001'!J64+'JV 063003'!J64+'JV 063004'!J64+'JV 063005'!J64+'JV 063006'!J64+'JV 063007'!J64+'El 064001'!J64+'EH 066011'!J64+MT066013!J64</f>
        <v>3281.1</v>
      </c>
      <c r="K65" s="40">
        <f>adm066051!K64+'gaas 04320'!K64+'Küte 043601'!K66+'küte 043602'!K64+'HV 052001'!K64+'HV 052003'!K64+'HV 052004'!K64+'JV 063001'!K64+'JV 063003'!K64+'JV 063004'!K64+'JV 063005'!K64+'JV 063006'!K64+'JV 063007'!K64+'El 064001'!K64+'EH 066011'!K64+MT066013!K64</f>
        <v>3388.5</v>
      </c>
      <c r="L65" s="40">
        <f>adm066051!L64+'gaas 04320'!L64+'Küte 043601'!L66+'küte 043602'!L64+'HV 052001'!L64+'HV 052003'!L64+'HV 052004'!L64+'JV 063001'!L64+'JV 063003'!L64+'JV 063004'!L64+'JV 063005'!L64+'JV 063006'!L64+'JV 063007'!L64+'El 064001'!L64+'EH 066011'!L64+MT066013!L64</f>
        <v>3208.9</v>
      </c>
      <c r="M65" s="40">
        <f>adm066051!M64+'gaas 04320'!M64+'Küte 043601'!M66+'küte 043602'!M64+'HV 052001'!M64+'HV 052003'!M64+'HV 052004'!M64+'JV 063001'!M64+'JV 063003'!M64+'JV 063004'!M64+'JV 063005'!M64+'JV 063006'!M64+'JV 063007'!M64+'El 064001'!M64+'EH 066011'!M64+MT066013!M64</f>
        <v>0</v>
      </c>
      <c r="N65" s="40">
        <f>adm066051!N64+'gaas 04320'!N64+'Küte 043601'!N66+'küte 043602'!N64+'HV 052001'!N64+'HV 052003'!N64+'HV 052004'!N64+'JV 063001'!N64+'JV 063003'!N64+'JV 063004'!N64+'JV 063005'!N64+'JV 063006'!N64+'JV 063007'!N64+'El 064001'!N64+'EH 066011'!N64+MT066013!N64</f>
        <v>4400</v>
      </c>
      <c r="O65" s="40">
        <f>adm066051!O64+'gaas 04320'!O64+'Küte 043601'!O66+'küte 043602'!O64+'HV 052001'!O64+'HV 052003'!O64+'HV 052004'!O64+'JV 063001'!O64+'JV 063003'!O64+'JV 063004'!O64+'JV 063005'!O64+'JV 063006'!O64+'JV 063007'!O64+'El 064001'!O64+'EH 066011'!O64+MT066013!O64</f>
        <v>800</v>
      </c>
      <c r="P65" s="40">
        <f>adm066051!P64+'gaas 04320'!P64+'Küte 043601'!P66+'küte 043602'!P64+'HV 052001'!P64+'HV 052003'!P64+'HV 052004'!P64+'JV 063001'!P64+'JV 063003'!P64+'JV 063004'!P64+'JV 063005'!P64+'JV 063006'!P64+'JV 063007'!P64+'El 064001'!P64+'EH 066011'!P64+MT066013!P64</f>
        <v>0</v>
      </c>
      <c r="Q65" s="40">
        <f>adm066051!Q64+'gaas 04320'!Q64+'Küte 043601'!Q66+'küte 043602'!Q64+'HV 052001'!Q64+'HV 052003'!Q64+'HV 052004'!Q64+'JV 063001'!Q64+'JV 063003'!Q64+'JV 063004'!Q64+'JV 063005'!Q64+'JV 063006'!Q64+'JV 063007'!Q64+'El 064001'!Q64+'EH 066011'!Q64+MT066013!Q64</f>
        <v>0</v>
      </c>
      <c r="R65" s="40">
        <f>adm066051!R64+'gaas 04320'!R64+'Küte 043601'!R66+'küte 043602'!R64+'HV 052001'!R64+'HV 052003'!R64+'HV 052004'!R64+'JV 063001'!R64+'JV 063003'!R64+'JV 063004'!R64+'JV 063005'!R64+'JV 063006'!R64+'JV 063007'!R64+'El 064001'!R64+'EH 066011'!R64+MT066013!R64</f>
        <v>0</v>
      </c>
      <c r="S65" s="40">
        <f>adm066051!S64+'gaas 04320'!S64+'Küte 043601'!S66+'küte 043602'!S64+'HV 052001'!S64+'HV 052003'!S64+'HV 052004'!S64+'JV 063001'!S64+'JV 063003'!S64+'JV 063004'!S64+'JV 063005'!S64+'JV 063006'!S64+'JV 063007'!S64+'El 064001'!S64+'EH 066011'!S64+MT066013!S64</f>
        <v>1305</v>
      </c>
      <c r="T65" s="40">
        <f>adm066051!T64+'gaas 04320'!T64+'Küte 043601'!T66+'küte 043602'!T64+'HV 052001'!T64+'HV 052003'!T64+'HV 052004'!T64+'JV 063001'!T64+'JV 063003'!T64+'JV 063004'!T64+'JV 063005'!T64+'JV 063006'!T64+'JV 063007'!T64+'El 064001'!T64+'EH 066011'!T64+MT066013!T64</f>
        <v>19500</v>
      </c>
    </row>
    <row r="66" spans="1:20" s="25" customFormat="1" ht="12.75">
      <c r="A66" s="22"/>
      <c r="B66" s="22"/>
      <c r="C66" s="22"/>
      <c r="D66" s="22"/>
      <c r="E66" s="26" t="s">
        <v>71</v>
      </c>
      <c r="F66" s="26"/>
      <c r="G66" s="114"/>
      <c r="H66" s="23">
        <f t="shared" si="2"/>
        <v>135128.55000000002</v>
      </c>
      <c r="I66" s="40">
        <f>adm066051!I65+'gaas 04320'!I65+'Küte 043601'!I67+'küte 043602'!I65+'HV 052001'!I65+'HV 052003'!I65+'HV 052004'!I65+'JV 063001'!I65+'JV 063003'!I65+'JV 063004'!I65+'JV 063005'!I65+'JV 063006'!I65+'JV 063007'!I65+'El 064001'!I65+'EH 066011'!I65+MT066013!I65</f>
        <v>0</v>
      </c>
      <c r="J66" s="40">
        <f>adm066051!J65+'gaas 04320'!J65+'Küte 043601'!J67+'küte 043602'!J65+'HV 052001'!J65+'HV 052003'!J65+'HV 052004'!J65+'JV 063001'!J65+'JV 063003'!J65+'JV 063004'!J65+'JV 063005'!J65+'JV 063006'!J65+'JV 063007'!J65+'El 064001'!J65+'EH 066011'!J65+MT066013!J65</f>
        <v>0</v>
      </c>
      <c r="K66" s="40">
        <f>adm066051!K65+'gaas 04320'!K65+'Küte 043601'!K67+'küte 043602'!K65+'HV 052001'!K65+'HV 052003'!K65+'HV 052004'!K65+'JV 063001'!K65+'JV 063003'!K65+'JV 063004'!K65+'JV 063005'!K65+'JV 063006'!K65+'JV 063007'!K65+'El 064001'!K65+'EH 066011'!K65+MT066013!K65</f>
        <v>5294.65</v>
      </c>
      <c r="L66" s="40">
        <f>adm066051!L65+'gaas 04320'!L65+'Küte 043601'!L67+'küte 043602'!L65+'HV 052001'!L65+'HV 052003'!L65+'HV 052004'!L65+'JV 063001'!L65+'JV 063003'!L65+'JV 063004'!L65+'JV 063005'!L65+'JV 063006'!L65+'JV 063007'!L65+'El 064001'!L65+'EH 066011'!L65+MT066013!L65</f>
        <v>21658.95</v>
      </c>
      <c r="M66" s="40">
        <f>adm066051!M65+'gaas 04320'!M65+'Küte 043601'!M67+'küte 043602'!M65+'HV 052001'!M65+'HV 052003'!M65+'HV 052004'!M65+'JV 063001'!M65+'JV 063003'!M65+'JV 063004'!M65+'JV 063005'!M65+'JV 063006'!M65+'JV 063007'!M65+'El 064001'!M65+'EH 066011'!M65+MT066013!M65</f>
        <v>18156.95</v>
      </c>
      <c r="N66" s="40">
        <f>adm066051!N65+'gaas 04320'!N65+'Küte 043601'!N67+'küte 043602'!N65+'HV 052001'!N65+'HV 052003'!N65+'HV 052004'!N65+'JV 063001'!N65+'JV 063003'!N65+'JV 063004'!N65+'JV 063005'!N65+'JV 063006'!N65+'JV 063007'!N65+'El 064001'!N65+'EH 066011'!N65+MT066013!N65</f>
        <v>11723.050000000001</v>
      </c>
      <c r="O66" s="40">
        <f>adm066051!O65+'gaas 04320'!O65+'Küte 043601'!O67+'küte 043602'!O65+'HV 052001'!O65+'HV 052003'!O65+'HV 052004'!O65+'JV 063001'!O65+'JV 063003'!O65+'JV 063004'!O65+'JV 063005'!O65+'JV 063006'!O65+'JV 063007'!O65+'El 064001'!O65+'EH 066011'!O65+MT066013!O65</f>
        <v>56998.200000000004</v>
      </c>
      <c r="P66" s="40">
        <f>adm066051!P65+'gaas 04320'!P65+'Küte 043601'!P67+'küte 043602'!P65+'HV 052001'!P65+'HV 052003'!P65+'HV 052004'!P65+'JV 063001'!P65+'JV 063003'!P65+'JV 063004'!P65+'JV 063005'!P65+'JV 063006'!P65+'JV 063007'!P65+'El 064001'!P65+'EH 066011'!P65+MT066013!P65</f>
        <v>70289.65</v>
      </c>
      <c r="Q66" s="40">
        <f>adm066051!Q65+'gaas 04320'!Q65+'Küte 043601'!Q67+'küte 043602'!Q65+'HV 052001'!Q65+'HV 052003'!Q65+'HV 052004'!Q65+'JV 063001'!Q65+'JV 063003'!Q65+'JV 063004'!Q65+'JV 063005'!Q65+'JV 063006'!Q65+'JV 063007'!Q65+'El 064001'!Q65+'EH 066011'!Q65+MT066013!Q65</f>
        <v>0</v>
      </c>
      <c r="R66" s="40">
        <f>adm066051!R65+'gaas 04320'!R65+'Küte 043601'!R67+'küte 043602'!R65+'HV 052001'!R65+'HV 052003'!R65+'HV 052004'!R65+'JV 063001'!R65+'JV 063003'!R65+'JV 063004'!R65+'JV 063005'!R65+'JV 063006'!R65+'JV 063007'!R65+'El 064001'!R65+'EH 066011'!R65+MT066013!R65</f>
        <v>9903.9</v>
      </c>
      <c r="S66" s="40">
        <f>adm066051!S65+'gaas 04320'!S65+'Küte 043601'!S67+'küte 043602'!S65+'HV 052001'!S65+'HV 052003'!S65+'HV 052004'!S65+'JV 063001'!S65+'JV 063003'!S65+'JV 063004'!S65+'JV 063005'!S65+'JV 063006'!S65+'JV 063007'!S65+'El 064001'!S65+'EH 066011'!S65+MT066013!S65</f>
        <v>0</v>
      </c>
      <c r="T66" s="40">
        <f>adm066051!T65+'gaas 04320'!T65+'Küte 043601'!T67+'küte 043602'!T65+'HV 052001'!T65+'HV 052003'!T65+'HV 052004'!T65+'JV 063001'!T65+'JV 063003'!T65+'JV 063004'!T65+'JV 063005'!T65+'JV 063006'!T65+'JV 063007'!T65+'El 064001'!T65+'EH 066011'!T65+MT066013!T65</f>
        <v>-58896.799999999996</v>
      </c>
    </row>
    <row r="67" spans="1:20" s="25" customFormat="1" ht="12.75">
      <c r="A67" s="22"/>
      <c r="B67" s="22"/>
      <c r="C67" s="22"/>
      <c r="D67" s="22"/>
      <c r="E67" s="26" t="s">
        <v>115</v>
      </c>
      <c r="F67" s="26"/>
      <c r="G67" s="114"/>
      <c r="H67" s="23">
        <f t="shared" si="2"/>
        <v>28929.600000000002</v>
      </c>
      <c r="I67" s="40">
        <f>adm066051!I66+'gaas 04320'!I66+'Küte 043601'!I68+'küte 043602'!I66+'HV 052001'!I66+'HV 052003'!I66+'HV 052004'!I66+'JV 063001'!I66+'JV 063003'!I66+'JV 063004'!I66+'JV 063005'!I66+'JV 063006'!I66+'JV 063007'!I66+'El 064001'!I66+'EH 066011'!I66+MT066013!I66</f>
        <v>0</v>
      </c>
      <c r="J67" s="40">
        <f>adm066051!J66+'gaas 04320'!J66+'Küte 043601'!J68+'küte 043602'!J66+'HV 052001'!J66+'HV 052003'!J66+'HV 052004'!J66+'JV 063001'!J66+'JV 063003'!J66+'JV 063004'!J66+'JV 063005'!J66+'JV 063006'!J66+'JV 063007'!J66+'El 064001'!J66+'EH 066011'!J66+MT066013!J66</f>
        <v>0</v>
      </c>
      <c r="K67" s="40">
        <f>adm066051!K66+'gaas 04320'!K66+'Küte 043601'!K68+'küte 043602'!K66+'HV 052001'!K66+'HV 052003'!K66+'HV 052004'!K66+'JV 063001'!K66+'JV 063003'!K66+'JV 063004'!K66+'JV 063005'!K66+'JV 063006'!K66+'JV 063007'!K66+'El 064001'!K66+'EH 066011'!K66+MT066013!K66</f>
        <v>0</v>
      </c>
      <c r="L67" s="40">
        <f>adm066051!L66+'gaas 04320'!L66+'Küte 043601'!L68+'küte 043602'!L66+'HV 052001'!L66+'HV 052003'!L66+'HV 052004'!L66+'JV 063001'!L66+'JV 063003'!L66+'JV 063004'!L66+'JV 063005'!L66+'JV 063006'!L66+'JV 063007'!L66+'El 064001'!L66+'EH 066011'!L66+MT066013!L66</f>
        <v>0</v>
      </c>
      <c r="M67" s="40">
        <f>adm066051!M66+'gaas 04320'!M66+'Küte 043601'!M68+'küte 043602'!M66+'HV 052001'!M66+'HV 052003'!M66+'HV 052004'!M66+'JV 063001'!M66+'JV 063003'!M66+'JV 063004'!M66+'JV 063005'!M66+'JV 063006'!M66+'JV 063007'!M66+'El 064001'!M66+'EH 066011'!M66+MT066013!M66</f>
        <v>9729.899999999998</v>
      </c>
      <c r="N67" s="40">
        <f>adm066051!N66+'gaas 04320'!N66+'Küte 043601'!N68+'küte 043602'!N66+'HV 052001'!N66+'HV 052003'!N66+'HV 052004'!N66+'JV 063001'!N66+'JV 063003'!N66+'JV 063004'!N66+'JV 063005'!N66+'JV 063006'!N66+'JV 063007'!N66+'El 064001'!N66+'EH 066011'!N66+MT066013!N66</f>
        <v>0</v>
      </c>
      <c r="O67" s="40">
        <f>adm066051!O66+'gaas 04320'!O66+'Küte 043601'!O68+'küte 043602'!O66+'HV 052001'!O66+'HV 052003'!O66+'HV 052004'!O66+'JV 063001'!O66+'JV 063003'!O66+'JV 063004'!O66+'JV 063005'!O66+'JV 063006'!O66+'JV 063007'!O66+'El 064001'!O66+'EH 066011'!O66+MT066013!O66</f>
        <v>11890.6</v>
      </c>
      <c r="P67" s="40">
        <f>adm066051!P66+'gaas 04320'!P66+'Küte 043601'!P68+'küte 043602'!P66+'HV 052001'!P66+'HV 052003'!P66+'HV 052004'!P66+'JV 063001'!P66+'JV 063003'!P66+'JV 063004'!P66+'JV 063005'!P66+'JV 063006'!P66+'JV 063007'!P66+'El 064001'!P66+'EH 066011'!P66+MT066013!P66</f>
        <v>0</v>
      </c>
      <c r="Q67" s="40">
        <f>adm066051!Q66+'gaas 04320'!Q66+'Küte 043601'!Q68+'küte 043602'!Q66+'HV 052001'!Q66+'HV 052003'!Q66+'HV 052004'!Q66+'JV 063001'!Q66+'JV 063003'!Q66+'JV 063004'!Q66+'JV 063005'!Q66+'JV 063006'!Q66+'JV 063007'!Q66+'El 064001'!Q66+'EH 066011'!Q66+MT066013!Q66</f>
        <v>0</v>
      </c>
      <c r="R67" s="40">
        <f>adm066051!R66+'gaas 04320'!R66+'Küte 043601'!R68+'küte 043602'!R66+'HV 052001'!R66+'HV 052003'!R66+'HV 052004'!R66+'JV 063001'!R66+'JV 063003'!R66+'JV 063004'!R66+'JV 063005'!R66+'JV 063006'!R66+'JV 063007'!R66+'El 064001'!R66+'EH 066011'!R66+MT066013!R66</f>
        <v>5505.9</v>
      </c>
      <c r="S67" s="40">
        <f>adm066051!S66+'gaas 04320'!S66+'Küte 043601'!S68+'küte 043602'!S66+'HV 052001'!S66+'HV 052003'!S66+'HV 052004'!S66+'JV 063001'!S66+'JV 063003'!S66+'JV 063004'!S66+'JV 063005'!S66+'JV 063006'!S66+'JV 063007'!S66+'El 064001'!S66+'EH 066011'!S66+MT066013!S66</f>
        <v>0</v>
      </c>
      <c r="T67" s="40">
        <f>adm066051!T66+'gaas 04320'!T66+'Küte 043601'!T68+'küte 043602'!T66+'HV 052001'!T66+'HV 052003'!T66+'HV 052004'!T66+'JV 063001'!T66+'JV 063003'!T66+'JV 063004'!T66+'JV 063005'!T66+'JV 063006'!T66+'JV 063007'!T66+'El 064001'!T66+'EH 066011'!T66+MT066013!T66</f>
        <v>1803.2</v>
      </c>
    </row>
    <row r="68" spans="1:20" s="25" customFormat="1" ht="12.75">
      <c r="A68" s="22"/>
      <c r="B68" s="22"/>
      <c r="C68" s="22"/>
      <c r="D68" s="22"/>
      <c r="E68" s="26"/>
      <c r="F68" s="26"/>
      <c r="G68" s="114"/>
      <c r="H68" s="23">
        <f t="shared" si="2"/>
        <v>29399.85</v>
      </c>
      <c r="I68" s="40">
        <f>adm066051!I67+'gaas 04320'!I67+'Küte 043601'!I69+'küte 043602'!I67+'HV 052001'!I67+'HV 052003'!I67+'HV 052004'!I67+'JV 063001'!I67+'JV 063003'!I67+'JV 063004'!I67+'JV 063005'!I67+'JV 063006'!I67+'JV 063007'!I67+'El 064001'!I67+'EH 066011'!I67+MT066013!I67</f>
        <v>0</v>
      </c>
      <c r="J68" s="40">
        <f>adm066051!J67+'gaas 04320'!J67+'Küte 043601'!J69+'küte 043602'!J67+'HV 052001'!J67+'HV 052003'!J67+'HV 052004'!J67+'JV 063001'!J67+'JV 063003'!J67+'JV 063004'!J67+'JV 063005'!J67+'JV 063006'!J67+'JV 063007'!J67+'El 064001'!J67+'EH 066011'!J67+MT066013!J67</f>
        <v>0</v>
      </c>
      <c r="K68" s="40">
        <f>adm066051!K67+'gaas 04320'!K67+'Küte 043601'!K69+'küte 043602'!K67+'HV 052001'!K67+'HV 052003'!K67+'HV 052004'!K67+'JV 063001'!K67+'JV 063003'!K67+'JV 063004'!K67+'JV 063005'!K67+'JV 063006'!K67+'JV 063007'!K67+'El 064001'!K67+'EH 066011'!K67+MT066013!K67</f>
        <v>0</v>
      </c>
      <c r="L68" s="40">
        <f>adm066051!L67+'gaas 04320'!L67+'Küte 043601'!L69+'küte 043602'!L67+'HV 052001'!L67+'HV 052003'!L67+'HV 052004'!L67+'JV 063001'!L67+'JV 063003'!L67+'JV 063004'!L67+'JV 063005'!L67+'JV 063006'!L67+'JV 063007'!L67+'El 064001'!L67+'EH 066011'!L67+MT066013!L67</f>
        <v>0</v>
      </c>
      <c r="M68" s="40">
        <f>adm066051!M67+'gaas 04320'!M67+'Küte 043601'!M69+'küte 043602'!M67+'HV 052001'!M67+'HV 052003'!M67+'HV 052004'!M67+'JV 063001'!M67+'JV 063003'!M67+'JV 063004'!M67+'JV 063005'!M67+'JV 063006'!M67+'JV 063007'!M67+'El 064001'!M67+'EH 066011'!M67+MT066013!M67</f>
        <v>999.85</v>
      </c>
      <c r="N68" s="40">
        <f>adm066051!N67+'gaas 04320'!N67+'Küte 043601'!N69+'küte 043602'!N67+'HV 052001'!N67+'HV 052003'!N67+'HV 052004'!N67+'JV 063001'!N67+'JV 063003'!N67+'JV 063004'!N67+'JV 063005'!N67+'JV 063006'!N67+'JV 063007'!N67+'El 064001'!N67+'EH 066011'!N67+MT066013!N67</f>
        <v>0</v>
      </c>
      <c r="O68" s="40">
        <f>adm066051!O67+'gaas 04320'!O67+'Küte 043601'!O69+'küte 043602'!O67+'HV 052001'!O67+'HV 052003'!O67+'HV 052004'!O67+'JV 063001'!O67+'JV 063003'!O67+'JV 063004'!O67+'JV 063005'!O67+'JV 063006'!O67+'JV 063007'!O67+'El 064001'!O67+'EH 066011'!O67+MT066013!O67</f>
        <v>0</v>
      </c>
      <c r="P68" s="40">
        <f>adm066051!P67+'gaas 04320'!P67+'Küte 043601'!P69+'küte 043602'!P67+'HV 052001'!P67+'HV 052003'!P67+'HV 052004'!P67+'JV 063001'!P67+'JV 063003'!P67+'JV 063004'!P67+'JV 063005'!P67+'JV 063006'!P67+'JV 063007'!P67+'El 064001'!P67+'EH 066011'!P67+MT066013!P67</f>
        <v>0</v>
      </c>
      <c r="Q68" s="40">
        <f>adm066051!Q67+'gaas 04320'!Q67+'Küte 043601'!Q69+'küte 043602'!Q67+'HV 052001'!Q67+'HV 052003'!Q67+'HV 052004'!Q67+'JV 063001'!Q67+'JV 063003'!Q67+'JV 063004'!Q67+'JV 063005'!Q67+'JV 063006'!Q67+'JV 063007'!Q67+'El 064001'!Q67+'EH 066011'!Q67+MT066013!Q67</f>
        <v>0</v>
      </c>
      <c r="R68" s="40">
        <f>adm066051!R67+'gaas 04320'!R67+'Küte 043601'!R69+'küte 043602'!R67+'HV 052001'!R67+'HV 052003'!R67+'HV 052004'!R67+'JV 063001'!R67+'JV 063003'!R67+'JV 063004'!R67+'JV 063005'!R67+'JV 063006'!R67+'JV 063007'!R67+'El 064001'!R67+'EH 066011'!R67+MT066013!R67</f>
        <v>0</v>
      </c>
      <c r="S68" s="40">
        <f>adm066051!S67+'gaas 04320'!S67+'Küte 043601'!S69+'küte 043602'!S67+'HV 052001'!S67+'HV 052003'!S67+'HV 052004'!S67+'JV 063001'!S67+'JV 063003'!S67+'JV 063004'!S67+'JV 063005'!S67+'JV 063006'!S67+'JV 063007'!S67+'El 064001'!S67+'EH 066011'!S67+MT066013!S67</f>
        <v>0</v>
      </c>
      <c r="T68" s="40">
        <f>adm066051!T67+'gaas 04320'!T67+'Küte 043601'!T69+'küte 043602'!T67+'HV 052001'!T67+'HV 052003'!T67+'HV 052004'!T67+'JV 063001'!T67+'JV 063003'!T67+'JV 063004'!T67+'JV 063005'!T67+'JV 063006'!T67+'JV 063007'!T67+'El 064001'!T67+'EH 066011'!T67+MT066013!T67</f>
        <v>28400</v>
      </c>
    </row>
    <row r="69" spans="1:20" s="25" customFormat="1" ht="12.75">
      <c r="A69" s="22"/>
      <c r="B69" s="22"/>
      <c r="C69" s="22"/>
      <c r="D69" s="22"/>
      <c r="E69" s="26"/>
      <c r="F69" s="26"/>
      <c r="G69" s="114"/>
      <c r="H69" s="23">
        <f t="shared" si="2"/>
        <v>0</v>
      </c>
      <c r="I69" s="40">
        <f>adm066051!I68+'gaas 04320'!I68+'Küte 043601'!I70+'küte 043602'!I68+'HV 052001'!I68+'HV 052003'!I68+'HV 052004'!I68+'JV 063001'!I68+'JV 063003'!I68+'JV 063004'!I68+'JV 063005'!I68+'JV 063006'!I68+'JV 063007'!I68+'El 064001'!I68+'EH 066011'!I68+MT066013!I68</f>
        <v>0</v>
      </c>
      <c r="J69" s="40">
        <f>adm066051!J68+'gaas 04320'!J68+'Küte 043601'!J70+'küte 043602'!J68+'HV 052001'!J68+'HV 052003'!J68+'HV 052004'!J68+'JV 063001'!J68+'JV 063003'!J68+'JV 063004'!J68+'JV 063005'!J68+'JV 063006'!J68+'JV 063007'!J68+'El 064001'!J68+'EH 066011'!J68+MT066013!J68</f>
        <v>0</v>
      </c>
      <c r="K69" s="40">
        <f>adm066051!K68+'gaas 04320'!K68+'Küte 043601'!K70+'küte 043602'!K68+'HV 052001'!K68+'HV 052003'!K68+'HV 052004'!K68+'JV 063001'!K68+'JV 063003'!K68+'JV 063004'!K68+'JV 063005'!K68+'JV 063006'!K68+'JV 063007'!K68+'El 064001'!K68+'EH 066011'!K68+MT066013!K68</f>
        <v>0</v>
      </c>
      <c r="L69" s="40">
        <f>adm066051!L68+'gaas 04320'!L68+'Küte 043601'!L70+'küte 043602'!L68+'HV 052001'!L68+'HV 052003'!L68+'HV 052004'!L68+'JV 063001'!L68+'JV 063003'!L68+'JV 063004'!L68+'JV 063005'!L68+'JV 063006'!L68+'JV 063007'!L68+'El 064001'!L68+'EH 066011'!L68+MT066013!L68</f>
        <v>0</v>
      </c>
      <c r="M69" s="40">
        <f>adm066051!M68+'gaas 04320'!M68+'Küte 043601'!M70+'küte 043602'!M68+'HV 052001'!M68+'HV 052003'!M68+'HV 052004'!M68+'JV 063001'!M68+'JV 063003'!M68+'JV 063004'!M68+'JV 063005'!M68+'JV 063006'!M68+'JV 063007'!M68+'El 064001'!M68+'EH 066011'!M68+MT066013!M68</f>
        <v>0</v>
      </c>
      <c r="N69" s="40">
        <f>adm066051!N68+'gaas 04320'!N68+'Küte 043601'!N70+'küte 043602'!N68+'HV 052001'!N68+'HV 052003'!N68+'HV 052004'!N68+'JV 063001'!N68+'JV 063003'!N68+'JV 063004'!N68+'JV 063005'!N68+'JV 063006'!N68+'JV 063007'!N68+'El 064001'!N68+'EH 066011'!N68+MT066013!N68</f>
        <v>0</v>
      </c>
      <c r="O69" s="40">
        <f>adm066051!O68+'gaas 04320'!O68+'Küte 043601'!O70+'küte 043602'!O68+'HV 052001'!O68+'HV 052003'!O68+'HV 052004'!O68+'JV 063001'!O68+'JV 063003'!O68+'JV 063004'!O68+'JV 063005'!O68+'JV 063006'!O68+'JV 063007'!O68+'El 064001'!O68+'EH 066011'!O68+MT066013!O68</f>
        <v>0</v>
      </c>
      <c r="P69" s="40">
        <f>adm066051!P68+'gaas 04320'!P68+'Küte 043601'!P70+'küte 043602'!P68+'HV 052001'!P68+'HV 052003'!P68+'HV 052004'!P68+'JV 063001'!P68+'JV 063003'!P68+'JV 063004'!P68+'JV 063005'!P68+'JV 063006'!P68+'JV 063007'!P68+'El 064001'!P68+'EH 066011'!P68+MT066013!P68</f>
        <v>0</v>
      </c>
      <c r="Q69" s="40">
        <f>adm066051!Q68+'gaas 04320'!Q68+'Küte 043601'!Q70+'küte 043602'!Q68+'HV 052001'!Q68+'HV 052003'!Q68+'HV 052004'!Q68+'JV 063001'!Q68+'JV 063003'!Q68+'JV 063004'!Q68+'JV 063005'!Q68+'JV 063006'!Q68+'JV 063007'!Q68+'El 064001'!Q68+'EH 066011'!Q68+MT066013!Q68</f>
        <v>0</v>
      </c>
      <c r="R69" s="40">
        <f>adm066051!R68+'gaas 04320'!R68+'Küte 043601'!R70+'küte 043602'!R68+'HV 052001'!R68+'HV 052003'!R68+'HV 052004'!R68+'JV 063001'!R68+'JV 063003'!R68+'JV 063004'!R68+'JV 063005'!R68+'JV 063006'!R68+'JV 063007'!R68+'El 064001'!R68+'EH 066011'!R68+MT066013!R68</f>
        <v>0</v>
      </c>
      <c r="S69" s="40">
        <f>adm066051!S68+'gaas 04320'!S68+'Küte 043601'!S70+'küte 043602'!S68+'HV 052001'!S68+'HV 052003'!S68+'HV 052004'!S68+'JV 063001'!S68+'JV 063003'!S68+'JV 063004'!S68+'JV 063005'!S68+'JV 063006'!S68+'JV 063007'!S68+'El 064001'!S68+'EH 066011'!S68+MT066013!S68</f>
        <v>0</v>
      </c>
      <c r="T69" s="40">
        <f>adm066051!T68+'gaas 04320'!T68+'Küte 043601'!T70+'küte 043602'!T68+'HV 052001'!T68+'HV 052003'!T68+'HV 052004'!T68+'JV 063001'!T68+'JV 063003'!T68+'JV 063004'!T68+'JV 063005'!T68+'JV 063006'!T68+'JV 063007'!T68+'El 064001'!T68+'EH 066011'!T68+MT066013!T68</f>
        <v>0</v>
      </c>
    </row>
    <row r="70" spans="1:20" s="25" customFormat="1" ht="12.75">
      <c r="A70" s="22"/>
      <c r="B70" s="22"/>
      <c r="C70" s="22"/>
      <c r="D70" s="22"/>
      <c r="E70" s="26" t="s">
        <v>72</v>
      </c>
      <c r="F70" s="26"/>
      <c r="G70" s="26"/>
      <c r="H70" s="23">
        <f t="shared" si="2"/>
        <v>20485.85</v>
      </c>
      <c r="I70" s="40">
        <f>adm066051!I69+'gaas 04320'!I69+'Küte 043601'!I71+'küte 043602'!I69+'HV 052001'!I69+'HV 052003'!I69+'HV 052004'!I69+'JV 063001'!I69+'JV 063003'!I69+'JV 063004'!I69+'JV 063005'!I69+'JV 063006'!I69+'JV 063007'!I69+'El 064001'!I69+'EH 066011'!I69+MT066013!I69</f>
        <v>0</v>
      </c>
      <c r="J70" s="40">
        <f>adm066051!J69+'gaas 04320'!J69+'Küte 043601'!J71+'küte 043602'!J69+'HV 052001'!J69+'HV 052003'!J69+'HV 052004'!J69+'JV 063001'!J69+'JV 063003'!J69+'JV 063004'!J69+'JV 063005'!J69+'JV 063006'!J69+'JV 063007'!J69+'El 064001'!J69+'EH 066011'!J69+MT066013!J69</f>
        <v>0</v>
      </c>
      <c r="K70" s="40">
        <f>adm066051!K69+'gaas 04320'!K69+'Küte 043601'!K71+'küte 043602'!K69+'HV 052001'!K69+'HV 052003'!K69+'HV 052004'!K69+'JV 063001'!K69+'JV 063003'!K69+'JV 063004'!K69+'JV 063005'!K69+'JV 063006'!K69+'JV 063007'!K69+'El 064001'!K69+'EH 066011'!K69+MT066013!K69</f>
        <v>0</v>
      </c>
      <c r="L70" s="40">
        <f>adm066051!L69+'gaas 04320'!L69+'Küte 043601'!L71+'küte 043602'!L69+'HV 052001'!L69+'HV 052003'!L69+'HV 052004'!L69+'JV 063001'!L69+'JV 063003'!L69+'JV 063004'!L69+'JV 063005'!L69+'JV 063006'!L69+'JV 063007'!L69+'El 064001'!L69+'EH 066011'!L69+MT066013!L69</f>
        <v>0</v>
      </c>
      <c r="M70" s="40">
        <f>adm066051!M69+'gaas 04320'!M69+'Küte 043601'!M71+'küte 043602'!M69+'HV 052001'!M69+'HV 052003'!M69+'HV 052004'!M69+'JV 063001'!M69+'JV 063003'!M69+'JV 063004'!M69+'JV 063005'!M69+'JV 063006'!M69+'JV 063007'!M69+'El 064001'!M69+'EH 066011'!M69+MT066013!M69</f>
        <v>0</v>
      </c>
      <c r="N70" s="40">
        <f>adm066051!N69+'gaas 04320'!N69+'Küte 043601'!N71+'küte 043602'!N69+'HV 052001'!N69+'HV 052003'!N69+'HV 052004'!N69+'JV 063001'!N69+'JV 063003'!N69+'JV 063004'!N69+'JV 063005'!N69+'JV 063006'!N69+'JV 063007'!N69+'El 064001'!N69+'EH 066011'!N69+MT066013!N69</f>
        <v>0</v>
      </c>
      <c r="O70" s="40">
        <f>adm066051!O69+'gaas 04320'!O69+'Küte 043601'!O71+'küte 043602'!O69+'HV 052001'!O69+'HV 052003'!O69+'HV 052004'!O69+'JV 063001'!O69+'JV 063003'!O69+'JV 063004'!O69+'JV 063005'!O69+'JV 063006'!O69+'JV 063007'!O69+'El 064001'!O69+'EH 066011'!O69+MT066013!O69</f>
        <v>0</v>
      </c>
      <c r="P70" s="40">
        <f>adm066051!P69+'gaas 04320'!P69+'Küte 043601'!P71+'küte 043602'!P69+'HV 052001'!P69+'HV 052003'!P69+'HV 052004'!P69+'JV 063001'!P69+'JV 063003'!P69+'JV 063004'!P69+'JV 063005'!P69+'JV 063006'!P69+'JV 063007'!P69+'El 064001'!P69+'EH 066011'!P69+MT066013!P69</f>
        <v>13148.55</v>
      </c>
      <c r="Q70" s="40">
        <f>adm066051!Q69+'gaas 04320'!Q69+'Küte 043601'!Q71+'küte 043602'!Q69+'HV 052001'!Q69+'HV 052003'!Q69+'HV 052004'!Q69+'JV 063001'!Q69+'JV 063003'!Q69+'JV 063004'!Q69+'JV 063005'!Q69+'JV 063006'!Q69+'JV 063007'!Q69+'El 064001'!Q69+'EH 066011'!Q69+MT066013!Q69</f>
        <v>6034.3</v>
      </c>
      <c r="R70" s="40">
        <f>adm066051!R69+'gaas 04320'!R69+'Küte 043601'!R71+'küte 043602'!R69+'HV 052001'!R69+'HV 052003'!R69+'HV 052004'!R69+'JV 063001'!R69+'JV 063003'!R69+'JV 063004'!R69+'JV 063005'!R69+'JV 063006'!R69+'JV 063007'!R69+'El 064001'!R69+'EH 066011'!R69+MT066013!R69</f>
        <v>0</v>
      </c>
      <c r="S70" s="40">
        <f>adm066051!S69+'gaas 04320'!S69+'Küte 043601'!S71+'küte 043602'!S69+'HV 052001'!S69+'HV 052003'!S69+'HV 052004'!S69+'JV 063001'!S69+'JV 063003'!S69+'JV 063004'!S69+'JV 063005'!S69+'JV 063006'!S69+'JV 063007'!S69+'El 064001'!S69+'EH 066011'!S69+MT066013!S69</f>
        <v>0</v>
      </c>
      <c r="T70" s="40">
        <f>adm066051!T69+'gaas 04320'!T69+'Küte 043601'!T71+'küte 043602'!T69+'HV 052001'!T69+'HV 052003'!T69+'HV 052004'!T69+'JV 063001'!T69+'JV 063003'!T69+'JV 063004'!T69+'JV 063005'!T69+'JV 063006'!T69+'JV 063007'!T69+'El 064001'!T69+'EH 066011'!T69+MT066013!T69</f>
        <v>1303</v>
      </c>
    </row>
    <row r="71" spans="1:20" s="25" customFormat="1" ht="12.75">
      <c r="A71" s="22"/>
      <c r="B71" s="22"/>
      <c r="C71" s="22"/>
      <c r="D71" s="22"/>
      <c r="E71" s="26"/>
      <c r="F71" s="26"/>
      <c r="G71" s="26"/>
      <c r="H71" s="21">
        <f>SUM(I71:T71)</f>
        <v>0</v>
      </c>
      <c r="I71" s="40">
        <f>adm066051!I70+'gaas 04320'!I70+'Küte 043601'!I72+'küte 043602'!I70+'HV 052001'!I70+'HV 052003'!I70+'HV 052004'!I70+'JV 063001'!I70+'JV 063003'!I70+'JV 063004'!I70+'JV 063005'!I70+'JV 063006'!I70+'JV 063007'!I70+'El 064001'!I70+'EH 066011'!I70+MT066013!I70</f>
        <v>0</v>
      </c>
      <c r="J71" s="40">
        <f>adm066051!J70+'gaas 04320'!J70+'Küte 043601'!J72+'küte 043602'!J70+'HV 052001'!J70+'HV 052003'!J70+'HV 052004'!J70+'JV 063001'!J70+'JV 063003'!J70+'JV 063004'!J70+'JV 063005'!J70+'JV 063006'!J70+'JV 063007'!J70+'El 064001'!J70+'EH 066011'!J70+MT066013!J70</f>
        <v>0</v>
      </c>
      <c r="K71" s="40">
        <f>adm066051!K70+'gaas 04320'!K70+'Küte 043601'!K72+'küte 043602'!K70+'HV 052001'!K70+'HV 052003'!K70+'HV 052004'!K70+'JV 063001'!K70+'JV 063003'!K70+'JV 063004'!K70+'JV 063005'!K70+'JV 063006'!K70+'JV 063007'!K70+'El 064001'!K70+'EH 066011'!K70+MT066013!K70</f>
        <v>0</v>
      </c>
      <c r="L71" s="40">
        <f>adm066051!L70+'gaas 04320'!L70+'Küte 043601'!L72+'küte 043602'!L70+'HV 052001'!L70+'HV 052003'!L70+'HV 052004'!L70+'JV 063001'!L70+'JV 063003'!L70+'JV 063004'!L70+'JV 063005'!L70+'JV 063006'!L70+'JV 063007'!L70+'El 064001'!L70+'EH 066011'!L70+MT066013!L70</f>
        <v>0</v>
      </c>
      <c r="M71" s="40">
        <f>adm066051!M70+'gaas 04320'!M70+'Küte 043601'!M72+'küte 043602'!M70+'HV 052001'!M70+'HV 052003'!M70+'HV 052004'!M70+'JV 063001'!M70+'JV 063003'!M70+'JV 063004'!M70+'JV 063005'!M70+'JV 063006'!M70+'JV 063007'!M70+'El 064001'!M70+'EH 066011'!M70+MT066013!M70</f>
        <v>0</v>
      </c>
      <c r="N71" s="40">
        <f>adm066051!N70+'gaas 04320'!N70+'Küte 043601'!N72+'küte 043602'!N70+'HV 052001'!N70+'HV 052003'!N70+'HV 052004'!N70+'JV 063001'!N70+'JV 063003'!N70+'JV 063004'!N70+'JV 063005'!N70+'JV 063006'!N70+'JV 063007'!N70+'El 064001'!N70+'EH 066011'!N70+MT066013!N70</f>
        <v>0</v>
      </c>
      <c r="O71" s="40">
        <f>adm066051!O70+'gaas 04320'!O70+'Küte 043601'!O72+'küte 043602'!O70+'HV 052001'!O70+'HV 052003'!O70+'HV 052004'!O70+'JV 063001'!O70+'JV 063003'!O70+'JV 063004'!O70+'JV 063005'!O70+'JV 063006'!O70+'JV 063007'!O70+'El 064001'!O70+'EH 066011'!O70+MT066013!O70</f>
        <v>0</v>
      </c>
      <c r="P71" s="40">
        <f>adm066051!P70+'gaas 04320'!P70+'Küte 043601'!P72+'küte 043602'!P70+'HV 052001'!P70+'HV 052003'!P70+'HV 052004'!P70+'JV 063001'!P70+'JV 063003'!P70+'JV 063004'!P70+'JV 063005'!P70+'JV 063006'!P70+'JV 063007'!P70+'El 064001'!P70+'EH 066011'!P70+MT066013!P70</f>
        <v>0</v>
      </c>
      <c r="Q71" s="40">
        <f>adm066051!Q70+'gaas 04320'!Q70+'Küte 043601'!Q72+'küte 043602'!Q70+'HV 052001'!Q70+'HV 052003'!Q70+'HV 052004'!Q70+'JV 063001'!Q70+'JV 063003'!Q70+'JV 063004'!Q70+'JV 063005'!Q70+'JV 063006'!Q70+'JV 063007'!Q70+'El 064001'!Q70+'EH 066011'!Q70+MT066013!Q70</f>
        <v>0</v>
      </c>
      <c r="R71" s="40">
        <f>adm066051!R70+'gaas 04320'!R70+'Küte 043601'!R72+'küte 043602'!R70+'HV 052001'!R70+'HV 052003'!R70+'HV 052004'!R70+'JV 063001'!R70+'JV 063003'!R70+'JV 063004'!R70+'JV 063005'!R70+'JV 063006'!R70+'JV 063007'!R70+'El 064001'!R70+'EH 066011'!R70+MT066013!R70</f>
        <v>0</v>
      </c>
      <c r="S71" s="40">
        <f>adm066051!S70+'gaas 04320'!S70+'Küte 043601'!S72+'küte 043602'!S70+'HV 052001'!S70+'HV 052003'!S70+'HV 052004'!S70+'JV 063001'!S70+'JV 063003'!S70+'JV 063004'!S70+'JV 063005'!S70+'JV 063006'!S70+'JV 063007'!S70+'El 064001'!S70+'EH 066011'!S70+MT066013!S70</f>
        <v>0</v>
      </c>
      <c r="T71" s="40">
        <f>adm066051!T70+'gaas 04320'!T70+'Küte 043601'!T72+'küte 043602'!T70+'HV 052001'!T70+'HV 052003'!T70+'HV 052004'!T70+'JV 063001'!T70+'JV 063003'!T70+'JV 063004'!T70+'JV 063005'!T70+'JV 063006'!T70+'JV 063007'!T70+'El 064001'!T70+'EH 066011'!T70+MT066013!T70</f>
        <v>0</v>
      </c>
    </row>
    <row r="72" spans="5:20" ht="12.75">
      <c r="E72" s="26"/>
      <c r="F72" s="26"/>
      <c r="G72" s="26"/>
      <c r="H72" s="21">
        <f>SUM(I72:T72)</f>
        <v>0</v>
      </c>
      <c r="I72" s="40">
        <f>adm066051!I71+'gaas 04320'!I71+'Küte 043601'!I73+'küte 043602'!I71+'HV 052001'!I71+'HV 052003'!I71+'HV 052004'!I71+'JV 063001'!I71+'JV 063003'!I71+'JV 063004'!I71+'JV 063005'!I71+'JV 063006'!I71+'JV 063007'!I71+'El 064001'!I71+'EH 066011'!I71+MT066013!I71</f>
        <v>0</v>
      </c>
      <c r="J72" s="40">
        <f>adm066051!J71+'gaas 04320'!J71+'Küte 043601'!J73+'küte 043602'!J71+'HV 052001'!J71+'HV 052003'!J71+'HV 052004'!J71+'JV 063001'!J71+'JV 063003'!J71+'JV 063004'!J71+'JV 063005'!J71+'JV 063006'!J71+'JV 063007'!J71+'El 064001'!J71+'EH 066011'!J71+MT066013!J71</f>
        <v>0</v>
      </c>
      <c r="K72" s="40">
        <f>adm066051!K71+'gaas 04320'!K71+'Küte 043601'!K73+'küte 043602'!K71+'HV 052001'!K71+'HV 052003'!K71+'HV 052004'!K71+'JV 063001'!K71+'JV 063003'!K71+'JV 063004'!K71+'JV 063005'!K71+'JV 063006'!K71+'JV 063007'!K71+'El 064001'!K71+'EH 066011'!K71+MT066013!K71</f>
        <v>0</v>
      </c>
      <c r="L72" s="40">
        <f>adm066051!L71+'gaas 04320'!L71+'Küte 043601'!L73+'küte 043602'!L71+'HV 052001'!L71+'HV 052003'!L71+'HV 052004'!L71+'JV 063001'!L71+'JV 063003'!L71+'JV 063004'!L71+'JV 063005'!L71+'JV 063006'!L71+'JV 063007'!L71+'El 064001'!L71+'EH 066011'!L71+MT066013!L71</f>
        <v>0</v>
      </c>
      <c r="M72" s="40">
        <f>adm066051!M71+'gaas 04320'!M71+'Küte 043601'!M73+'küte 043602'!M71+'HV 052001'!M71+'HV 052003'!M71+'HV 052004'!M71+'JV 063001'!M71+'JV 063003'!M71+'JV 063004'!M71+'JV 063005'!M71+'JV 063006'!M71+'JV 063007'!M71+'El 064001'!M71+'EH 066011'!M71+MT066013!M71</f>
        <v>0</v>
      </c>
      <c r="N72" s="40">
        <f>adm066051!N71+'gaas 04320'!N71+'Küte 043601'!N73+'küte 043602'!N71+'HV 052001'!N71+'HV 052003'!N71+'HV 052004'!N71+'JV 063001'!N71+'JV 063003'!N71+'JV 063004'!N71+'JV 063005'!N71+'JV 063006'!N71+'JV 063007'!N71+'El 064001'!N71+'EH 066011'!N71+MT066013!N71</f>
        <v>0</v>
      </c>
      <c r="O72" s="40">
        <f>adm066051!O71+'gaas 04320'!O71+'Küte 043601'!O73+'küte 043602'!O71+'HV 052001'!O71+'HV 052003'!O71+'HV 052004'!O71+'JV 063001'!O71+'JV 063003'!O71+'JV 063004'!O71+'JV 063005'!O71+'JV 063006'!O71+'JV 063007'!O71+'El 064001'!O71+'EH 066011'!O71+MT066013!O71</f>
        <v>0</v>
      </c>
      <c r="P72" s="40">
        <f>adm066051!P71+'gaas 04320'!P71+'Küte 043601'!P73+'küte 043602'!P71+'HV 052001'!P71+'HV 052003'!P71+'HV 052004'!P71+'JV 063001'!P71+'JV 063003'!P71+'JV 063004'!P71+'JV 063005'!P71+'JV 063006'!P71+'JV 063007'!P71+'El 064001'!P71+'EH 066011'!P71+MT066013!P71</f>
        <v>0</v>
      </c>
      <c r="Q72" s="40">
        <f>adm066051!Q71+'gaas 04320'!Q71+'Küte 043601'!Q73+'küte 043602'!Q71+'HV 052001'!Q71+'HV 052003'!Q71+'HV 052004'!Q71+'JV 063001'!Q71+'JV 063003'!Q71+'JV 063004'!Q71+'JV 063005'!Q71+'JV 063006'!Q71+'JV 063007'!Q71+'El 064001'!Q71+'EH 066011'!Q71+MT066013!Q71</f>
        <v>0</v>
      </c>
      <c r="R72" s="40">
        <f>adm066051!R71+'gaas 04320'!R71+'Küte 043601'!R73+'küte 043602'!R71+'HV 052001'!R71+'HV 052003'!R71+'HV 052004'!R71+'JV 063001'!R71+'JV 063003'!R71+'JV 063004'!R71+'JV 063005'!R71+'JV 063006'!R71+'JV 063007'!R71+'El 064001'!R71+'EH 066011'!R71+MT066013!R71</f>
        <v>0</v>
      </c>
      <c r="S72" s="40">
        <f>adm066051!S71+'gaas 04320'!S71+'Küte 043601'!S73+'küte 043602'!S71+'HV 052001'!S71+'HV 052003'!S71+'HV 052004'!S71+'JV 063001'!S71+'JV 063003'!S71+'JV 063004'!S71+'JV 063005'!S71+'JV 063006'!S71+'JV 063007'!S71+'El 064001'!S71+'EH 066011'!S71+MT066013!S71</f>
        <v>0</v>
      </c>
      <c r="T72" s="40">
        <f>adm066051!T71+'gaas 04320'!T71+'Küte 043601'!T73+'küte 043602'!T71+'HV 052001'!T71+'HV 052003'!T71+'HV 052004'!T71+'JV 063001'!T71+'JV 063003'!T71+'JV 063004'!T71+'JV 063005'!T71+'JV 063006'!T71+'JV 063007'!T71+'El 064001'!T71+'EH 066011'!T71+MT066013!T71</f>
        <v>0</v>
      </c>
    </row>
    <row r="73" spans="5:20" ht="12.75">
      <c r="E73" s="28" t="s">
        <v>73</v>
      </c>
      <c r="F73" s="28"/>
      <c r="G73" s="28"/>
      <c r="H73" s="21">
        <f>SUM(I73:T73)</f>
        <v>517871.8637</v>
      </c>
      <c r="I73" s="24">
        <f>adm066051!I72+'gaas 04320'!I72+'Küte 043601'!I74+'küte 043602'!I72+'HV 052001'!I72+'HV 052003'!I72-'HV 052004'!I72+'JV 063001'!I72</f>
        <v>42863.6302</v>
      </c>
      <c r="J73" s="24">
        <f>adm066051!J72+'gaas 04320'!J72+'Küte 043601'!J74+'küte 043602'!J72+'HV 052001'!J72+'HV 052003'!J72-'HV 052004'!J72+'JV 063001'!J72</f>
        <v>42165.304000000004</v>
      </c>
      <c r="K73" s="24">
        <f>adm066051!K72+'gaas 04320'!K72+'Küte 043601'!K74+'küte 043602'!K72+'HV 052001'!K72+'HV 052003'!K72-'HV 052004'!K72+'JV 063001'!K72</f>
        <v>44234.985</v>
      </c>
      <c r="L73" s="24">
        <f>adm066051!L72+'gaas 04320'!L72+'Küte 043601'!L74+'küte 043602'!L72+'HV 052001'!L72+'HV 052003'!L72-'HV 052004'!L72+'JV 063001'!L72</f>
        <v>46046.608</v>
      </c>
      <c r="M73" s="24">
        <f>adm066051!M72+'gaas 04320'!M72+'Küte 043601'!M74+'küte 043602'!M72+'HV 052001'!M72+'HV 052003'!M72-'HV 052004'!M72+'JV 063001'!M72</f>
        <v>44906.5875</v>
      </c>
      <c r="N73" s="24">
        <f>adm066051!N72+'gaas 04320'!N72+'Küte 043601'!N74+'küte 043602'!N72+'HV 052001'!N72+'HV 052003'!N72-'HV 052004'!N72+'JV 063001'!N72</f>
        <v>37000.6835</v>
      </c>
      <c r="O73" s="24">
        <f>adm066051!O72+'gaas 04320'!O72+'Küte 043601'!O74+'küte 043602'!O72+'HV 052001'!O72+'HV 052003'!O72-'HV 052004'!O72+'JV 063001'!O72</f>
        <v>50760.990999999995</v>
      </c>
      <c r="P73" s="24">
        <f>adm066051!P72+'gaas 04320'!P72+'Küte 043601'!P74+'küte 043602'!P72+'HV 052001'!P72+'HV 052003'!P72-'HV 052004'!P72+'JV 063001'!P72</f>
        <v>56988.5945</v>
      </c>
      <c r="Q73" s="24">
        <f>adm066051!Q72+'gaas 04320'!Q72+'Küte 043601'!Q74+'küte 043602'!Q72+'HV 052001'!Q72+'HV 052003'!Q72-'HV 052004'!Q72+'JV 063001'!Q72</f>
        <v>36441</v>
      </c>
      <c r="R73" s="24">
        <f>adm066051!R72+'gaas 04320'!R72+'Küte 043601'!R74+'küte 043602'!R72+'HV 052001'!R72+'HV 052003'!R72-'HV 052004'!R72+'JV 063001'!R72</f>
        <v>36993.48</v>
      </c>
      <c r="S73" s="24">
        <f>adm066051!S72+'gaas 04320'!S72+'Küte 043601'!S74+'küte 043602'!S72+'HV 052001'!S72+'HV 052003'!S72-'HV 052004'!S72+'JV 063001'!S72</f>
        <v>40037</v>
      </c>
      <c r="T73" s="24">
        <f>adm066051!T72+'gaas 04320'!T72+'Küte 043601'!T74+'küte 043602'!T72+'HV 052001'!T72+'HV 052003'!T72-'HV 052004'!T72+'JV 063001'!T72</f>
        <v>39433</v>
      </c>
    </row>
    <row r="74" spans="5:20" ht="12.75">
      <c r="E74" s="28" t="s">
        <v>74</v>
      </c>
      <c r="F74" s="28"/>
      <c r="G74" s="28"/>
      <c r="H74" s="21">
        <f>SUM(I74:T74)</f>
        <v>16785.43446</v>
      </c>
      <c r="I74" s="24">
        <f>adm066051!I73+'gaas 04320'!I73+'Küte 043601'!I75+'küte 043602'!I73+'HV 052001'!I73+'HV 052003'!I73-'HV 052004'!I73+'JV 063001'!I73</f>
        <v>1484.4691599999999</v>
      </c>
      <c r="J74" s="24">
        <f>adm066051!J73+'gaas 04320'!J73+'Küte 043601'!J75+'küte 043602'!J73+'HV 052001'!J73+'HV 052003'!J73-'HV 052004'!J73+'JV 063001'!J73</f>
        <v>1452.8431999999998</v>
      </c>
      <c r="K74" s="24">
        <f>adm066051!K73+'gaas 04320'!K73+'Küte 043601'!K75+'küte 043602'!K73+'HV 052001'!K73+'HV 052003'!K73-'HV 052004'!K73+'JV 063001'!K73</f>
        <v>1541.1629999999998</v>
      </c>
      <c r="L74" s="24">
        <f>adm066051!L73+'gaas 04320'!L73+'Küte 043601'!L75+'küte 043602'!L73+'HV 052001'!L73+'HV 052003'!L73-'HV 052004'!L73+'JV 063001'!L73</f>
        <v>1356.4864</v>
      </c>
      <c r="M74" s="24">
        <f>adm066051!M73+'gaas 04320'!M73+'Küte 043601'!M75+'küte 043602'!M73+'HV 052001'!M73+'HV 052003'!M73-'HV 052004'!M73+'JV 063001'!M73</f>
        <v>1482.1825</v>
      </c>
      <c r="N74" s="24">
        <f>adm066051!N73+'gaas 04320'!N73+'Küte 043601'!N75+'küte 043602'!N73+'HV 052001'!N73+'HV 052003'!N73-'HV 052004'!N73+'JV 063001'!N73</f>
        <v>1265.4592999999998</v>
      </c>
      <c r="O74" s="24">
        <f>adm066051!O73+'gaas 04320'!O73+'Küte 043601'!O75+'küte 043602'!O73+'HV 052001'!O73+'HV 052003'!O73-'HV 052004'!O73+'JV 063001'!O73</f>
        <v>2038.6178</v>
      </c>
      <c r="P74" s="24">
        <f>adm066051!P73+'gaas 04320'!P73+'Küte 043601'!P75+'küte 043602'!P73+'HV 052001'!P73+'HV 052003'!P73-'HV 052004'!P73+'JV 063001'!P73</f>
        <v>1080.2131</v>
      </c>
      <c r="Q74" s="24">
        <f>adm066051!Q73+'gaas 04320'!Q73+'Küte 043601'!Q75+'küte 043602'!Q73+'HV 052001'!Q73+'HV 052003'!Q73-'HV 052004'!Q73+'JV 063001'!Q73</f>
        <v>1246</v>
      </c>
      <c r="R74" s="24">
        <f>adm066051!R73+'gaas 04320'!R73+'Küte 043601'!R75+'küte 043602'!R73+'HV 052001'!R73+'HV 052003'!R73-'HV 052004'!R73+'JV 063001'!R73</f>
        <v>1490</v>
      </c>
      <c r="S74" s="24">
        <f>adm066051!S73+'gaas 04320'!S73+'Küte 043601'!S75+'küte 043602'!S73+'HV 052001'!S73+'HV 052003'!S73-'HV 052004'!S73+'JV 063001'!S73</f>
        <v>1395</v>
      </c>
      <c r="T74" s="24">
        <f>adm066051!T73+'gaas 04320'!T73+'Küte 043601'!T75+'küte 043602'!T73+'HV 052001'!T73+'HV 052003'!T73-'HV 052004'!T73+'JV 063001'!T73</f>
        <v>953</v>
      </c>
    </row>
    <row r="75" spans="6:20" ht="12.75">
      <c r="F75" s="29"/>
      <c r="G75" s="29"/>
      <c r="H75" s="21">
        <f>SUM(I75:T75)</f>
        <v>2193932.93816</v>
      </c>
      <c r="I75" s="24">
        <f aca="true" t="shared" si="3" ref="I75:T75">I63+I73+I74</f>
        <v>183458.78936000002</v>
      </c>
      <c r="J75" s="24">
        <f t="shared" si="3"/>
        <v>179995.1972</v>
      </c>
      <c r="K75" s="24">
        <f t="shared" si="3"/>
        <v>189517.348</v>
      </c>
      <c r="L75" s="24">
        <f t="shared" si="3"/>
        <v>196178.5944</v>
      </c>
      <c r="M75" s="24">
        <f t="shared" si="3"/>
        <v>176389.42</v>
      </c>
      <c r="N75" s="24">
        <f t="shared" si="3"/>
        <v>155040.7428</v>
      </c>
      <c r="O75" s="24">
        <f t="shared" si="3"/>
        <v>215370.5088</v>
      </c>
      <c r="P75" s="24">
        <f t="shared" si="3"/>
        <v>234289.4576</v>
      </c>
      <c r="Q75" s="24">
        <f t="shared" si="3"/>
        <v>152196.15</v>
      </c>
      <c r="R75" s="24">
        <f t="shared" si="3"/>
        <v>179788.38</v>
      </c>
      <c r="S75" s="24">
        <f t="shared" si="3"/>
        <v>168159.85</v>
      </c>
      <c r="T75" s="24">
        <f t="shared" si="3"/>
        <v>163548.5</v>
      </c>
    </row>
    <row r="76" ht="12.75">
      <c r="I76" s="44"/>
    </row>
    <row r="77" ht="12.75">
      <c r="I77" s="44"/>
    </row>
    <row r="78" spans="1:20" s="69" customFormat="1" ht="12.75">
      <c r="A78" s="109"/>
      <c r="B78" s="109"/>
      <c r="C78" s="109"/>
      <c r="D78" s="109"/>
      <c r="E78" s="21" t="s">
        <v>259</v>
      </c>
      <c r="F78" s="109">
        <f>'Küte 043601'!F102+'küte 043602'!F99+'HV 052001'!F101+'HV 052003'!F100+'JV 063007'!F101</f>
        <v>1045793.28</v>
      </c>
      <c r="G78" s="109">
        <f>'Küte 043601'!G102+'küte 043602'!G99+'HV 052001'!G101+'HV 052003'!G100+'JV 063007'!G101</f>
        <v>1626231.07</v>
      </c>
      <c r="H78" s="21">
        <f>SUM(I78:T78)</f>
        <v>1645847.2999999998</v>
      </c>
      <c r="I78" s="109">
        <f>'Küte 043601'!I102+'küte 043602'!I99+'HV 052001'!I101+'HV 052003'!I100+'JV 063007'!I101</f>
        <v>164114.09</v>
      </c>
      <c r="J78" s="109">
        <f>'Küte 043601'!J102+'küte 043602'!J99+'HV 052001'!J101+'HV 052003'!J100+'JV 063007'!J101</f>
        <v>195073.64</v>
      </c>
      <c r="K78" s="109">
        <f>'Küte 043601'!K102+'küte 043602'!K99+'HV 052001'!K101+'HV 052003'!K100+'JV 063007'!K101</f>
        <v>181427.97</v>
      </c>
      <c r="L78" s="109">
        <f>'Küte 043601'!L102+'küte 043602'!L99+'HV 052001'!L101+'HV 052003'!L100+'JV 063007'!L101</f>
        <v>180123.46999999997</v>
      </c>
      <c r="M78" s="109">
        <f>'Küte 043601'!M102+'küte 043602'!M99+'HV 052001'!M101+'HV 052003'!M100+'JV 063007'!M101</f>
        <v>180829.56</v>
      </c>
      <c r="N78" s="109">
        <f>'Küte 043601'!N102+'küte 043602'!N99+'HV 052001'!N101+'HV 052003'!N100+'JV 063007'!N101</f>
        <v>108978.94</v>
      </c>
      <c r="O78" s="109">
        <f>'Küte 043601'!O102+'küte 043602'!O99+'HV 052001'!O101+'HV 052003'!O100+'JV 063007'!O101</f>
        <v>105282.51999999999</v>
      </c>
      <c r="P78" s="109">
        <f>'Küte 043601'!P102+'küte 043602'!P99+'HV 052001'!P101+'HV 052003'!P100+'JV 063007'!P101</f>
        <v>105114.94</v>
      </c>
      <c r="Q78" s="109">
        <f>'Küte 043601'!Q102+'küte 043602'!Q99+'HV 052001'!Q101+'HV 052003'!Q100+'JV 063007'!Q101</f>
        <v>105648.17000000001</v>
      </c>
      <c r="R78" s="109">
        <f>'Küte 043601'!R102+'küte 043602'!R99+'HV 052001'!R101+'HV 052003'!R100+'JV 063007'!R101</f>
        <v>106189.7</v>
      </c>
      <c r="S78" s="109">
        <f>'Küte 043601'!S102+'küte 043602'!S99+'HV 052001'!S101+'HV 052003'!S100+'JV 063007'!S101</f>
        <v>106263.98</v>
      </c>
      <c r="T78" s="109">
        <f>'Küte 043601'!T102+'küte 043602'!T99+'HV 052001'!T101+'HV 052003'!T100+'JV 063007'!T101</f>
        <v>106800.32</v>
      </c>
    </row>
    <row r="79" spans="1:20" s="69" customFormat="1" ht="12.75">
      <c r="A79" s="109"/>
      <c r="B79" s="109"/>
      <c r="C79" s="109"/>
      <c r="D79" s="109"/>
      <c r="E79" s="21" t="s">
        <v>261</v>
      </c>
      <c r="F79" s="109">
        <f>'Küte 043601'!F103+'küte 043602'!F100+'HV 052001'!F102+'HV 052003'!F101+'JV 063007'!F102</f>
        <v>313498.55</v>
      </c>
      <c r="G79" s="109">
        <f>'Küte 043601'!G103+'küte 043602'!G100+'HV 052001'!G102+'HV 052003'!G101+'JV 063007'!G102</f>
        <v>311631.01</v>
      </c>
      <c r="H79" s="21">
        <f>SUM(I79:T79)</f>
        <v>219884.83000000005</v>
      </c>
      <c r="I79" s="109">
        <f>'Küte 043601'!I103+'küte 043602'!I100+'HV 052001'!I102+'HV 052003'!I101+'JV 063007'!I102</f>
        <v>18764.620000000003</v>
      </c>
      <c r="J79" s="109">
        <f>'Küte 043601'!J103+'küte 043602'!J100+'HV 052001'!J102+'HV 052003'!J101+'JV 063007'!J102</f>
        <v>18061.04</v>
      </c>
      <c r="K79" s="109">
        <f>'Küte 043601'!K103+'küte 043602'!K100+'HV 052001'!K102+'HV 052003'!K101+'JV 063007'!K102</f>
        <v>15906.88</v>
      </c>
      <c r="L79" s="109">
        <f>'Küte 043601'!L103+'küte 043602'!L100+'HV 052001'!L102+'HV 052003'!L101+'JV 063007'!L102</f>
        <v>16784.28</v>
      </c>
      <c r="M79" s="109">
        <f>'Küte 043601'!M103+'küte 043602'!M100+'HV 052001'!M102+'HV 052003'!M101+'JV 063007'!M102</f>
        <v>16131.960000000001</v>
      </c>
      <c r="N79" s="109">
        <f>'Küte 043601'!N103+'küte 043602'!N100+'HV 052001'!N102+'HV 052003'!N101+'JV 063007'!N102</f>
        <v>17275.329999999998</v>
      </c>
      <c r="O79" s="109">
        <f>'Küte 043601'!O103+'küte 043602'!O100+'HV 052001'!O102+'HV 052003'!O101+'JV 063007'!O102</f>
        <v>18622.77</v>
      </c>
      <c r="P79" s="109">
        <f>'Küte 043601'!P103+'küte 043602'!P100+'HV 052001'!P102+'HV 052003'!P101+'JV 063007'!P102</f>
        <v>19979.640000000003</v>
      </c>
      <c r="Q79" s="109">
        <f>'Küte 043601'!Q103+'küte 043602'!Q100+'HV 052001'!Q102+'HV 052003'!Q101+'JV 063007'!Q102</f>
        <v>18452.88</v>
      </c>
      <c r="R79" s="109">
        <f>'Küte 043601'!R103+'küte 043602'!R100+'HV 052001'!R102+'HV 052003'!R101+'JV 063007'!R102</f>
        <v>20108.14</v>
      </c>
      <c r="S79" s="109">
        <f>'Küte 043601'!S103+'küte 043602'!S100+'HV 052001'!S102+'HV 052003'!S101+'JV 063007'!S102</f>
        <v>19916.940000000002</v>
      </c>
      <c r="T79" s="109">
        <f>'Küte 043601'!T103+'küte 043602'!T100+'HV 052001'!T102+'HV 052003'!T101+'JV 063007'!T102</f>
        <v>19880.35</v>
      </c>
    </row>
    <row r="80" ht="12.75">
      <c r="I80" s="44"/>
    </row>
    <row r="81" ht="12.75">
      <c r="I81" s="44"/>
    </row>
    <row r="82" ht="12.75">
      <c r="I82" s="44"/>
    </row>
    <row r="83" ht="12.75">
      <c r="I83" s="44"/>
    </row>
    <row r="84" ht="12.75">
      <c r="I84" s="44"/>
    </row>
    <row r="85" ht="12.75">
      <c r="I85" s="44"/>
    </row>
    <row r="86" ht="12.75">
      <c r="I86" s="44"/>
    </row>
    <row r="87" ht="12.75">
      <c r="I87" s="44"/>
    </row>
    <row r="88" ht="12.75">
      <c r="I88" s="44"/>
    </row>
    <row r="89" ht="12.75">
      <c r="I89" s="44"/>
    </row>
    <row r="90" ht="12.75">
      <c r="I90" s="44"/>
    </row>
    <row r="91" ht="12.75">
      <c r="I91" s="44"/>
    </row>
    <row r="92" ht="12.75">
      <c r="I92" s="44"/>
    </row>
    <row r="93" ht="12.75">
      <c r="I93" s="44"/>
    </row>
    <row r="94" ht="12.75">
      <c r="I94" s="44"/>
    </row>
    <row r="95" ht="12.75">
      <c r="I95" s="44"/>
    </row>
    <row r="96" ht="12.75">
      <c r="I96" s="44"/>
    </row>
    <row r="97" ht="12.75">
      <c r="I97" s="44"/>
    </row>
    <row r="98" ht="12.75">
      <c r="I98" s="44"/>
    </row>
    <row r="99" ht="12.75">
      <c r="I99" s="44"/>
    </row>
    <row r="100" ht="12.75">
      <c r="I100" s="44"/>
    </row>
    <row r="101" ht="12.75"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</sheetData>
  <sheetProtection/>
  <mergeCells count="3">
    <mergeCell ref="F63:F65"/>
    <mergeCell ref="G63:G65"/>
    <mergeCell ref="G66:G69"/>
  </mergeCells>
  <printOptions/>
  <pageMargins left="0.75" right="0.75" top="1" bottom="1" header="0.5" footer="0.5"/>
  <pageSetup fitToHeight="2" horizontalDpi="600" verticalDpi="600" orientation="landscape" paperSize="9" scale="55" r:id="rId1"/>
  <headerFooter alignWithMargins="0">
    <oddHeader xml:space="preserve">&amp;C&amp;F &amp;A&amp;RKuudekaupa  Koond </oddHeader>
    <oddFooter xml:space="preserve">&amp;C&amp;F  &amp;D&amp;RKoond kuude kaupa </oddFooter>
  </headerFooter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2">
      <pane xSplit="6150" ySplit="1035" topLeftCell="E36" activePane="bottomRight" state="split"/>
      <selection pane="topLeft" activeCell="Q57" sqref="Q57"/>
      <selection pane="topRight" activeCell="T3" sqref="T3"/>
      <selection pane="bottomLeft" activeCell="E26" sqref="E26"/>
      <selection pane="bottomRight" activeCell="T36" sqref="T36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bestFit="1" customWidth="1"/>
    <col min="8" max="8" width="13.421875" style="21" bestFit="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247</v>
      </c>
      <c r="P2" s="5" t="s">
        <v>248</v>
      </c>
      <c r="Q2" s="5" t="s">
        <v>97</v>
      </c>
      <c r="R2" s="5" t="s">
        <v>98</v>
      </c>
      <c r="S2" s="5" t="s">
        <v>99</v>
      </c>
      <c r="T2" s="5" t="s">
        <v>271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39.55</v>
      </c>
      <c r="G3" s="4">
        <f>G4+G8+G12</f>
        <v>986.48</v>
      </c>
      <c r="H3" s="7">
        <f>SUM(I3:T3)</f>
        <v>13327.03</v>
      </c>
      <c r="I3" s="40">
        <f>I4+I8+I12</f>
        <v>0</v>
      </c>
      <c r="J3" s="40">
        <f>J4+J8+J12</f>
        <v>0</v>
      </c>
      <c r="K3" s="40">
        <f>K4+K8+K12</f>
        <v>0</v>
      </c>
      <c r="L3" s="40">
        <f>L4+L8+L12</f>
        <v>0</v>
      </c>
      <c r="M3" s="40">
        <f aca="true" t="shared" si="0" ref="M3:T3">M4+M8+M12</f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13327.03</v>
      </c>
      <c r="R3" s="4">
        <f t="shared" si="0"/>
        <v>0</v>
      </c>
      <c r="S3" s="4">
        <f t="shared" si="0"/>
        <v>0</v>
      </c>
      <c r="T3" s="4">
        <f t="shared" si="0"/>
        <v>0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39.55</v>
      </c>
      <c r="G4" s="4">
        <f>G5</f>
        <v>986.48</v>
      </c>
      <c r="H4" s="7">
        <f aca="true" t="shared" si="1" ref="H4:H60">SUM(I4:T4)</f>
        <v>0</v>
      </c>
      <c r="I4" s="40">
        <f>I5</f>
        <v>0</v>
      </c>
      <c r="J4" s="40">
        <f>J5</f>
        <v>0</v>
      </c>
      <c r="K4" s="40">
        <f>K5</f>
        <v>0</v>
      </c>
      <c r="L4" s="40">
        <f>L5</f>
        <v>0</v>
      </c>
      <c r="M4" s="40">
        <f aca="true" t="shared" si="2" ref="M4:T4">M5</f>
        <v>0</v>
      </c>
      <c r="N4" s="4">
        <f t="shared" si="2"/>
        <v>0</v>
      </c>
      <c r="O4" s="4">
        <f t="shared" si="2"/>
        <v>0</v>
      </c>
      <c r="P4" s="4">
        <f t="shared" si="2"/>
        <v>0</v>
      </c>
      <c r="Q4" s="4">
        <f t="shared" si="2"/>
        <v>0</v>
      </c>
      <c r="R4" s="4">
        <f t="shared" si="2"/>
        <v>0</v>
      </c>
      <c r="S4" s="4">
        <f t="shared" si="2"/>
        <v>0</v>
      </c>
      <c r="T4" s="4">
        <f t="shared" si="2"/>
        <v>0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39.55</v>
      </c>
      <c r="G5" s="4">
        <f>G7</f>
        <v>986.48</v>
      </c>
      <c r="H5" s="7">
        <f t="shared" si="1"/>
        <v>0</v>
      </c>
      <c r="I5" s="40">
        <f>I7</f>
        <v>0</v>
      </c>
      <c r="J5" s="40">
        <f>J7</f>
        <v>0</v>
      </c>
      <c r="K5" s="40">
        <f>K7</f>
        <v>0</v>
      </c>
      <c r="L5" s="40">
        <f>L7</f>
        <v>0</v>
      </c>
      <c r="M5" s="40">
        <f aca="true" t="shared" si="3" ref="M5:T5">M7</f>
        <v>0</v>
      </c>
      <c r="N5" s="4">
        <f t="shared" si="3"/>
        <v>0</v>
      </c>
      <c r="O5" s="4">
        <f t="shared" si="3"/>
        <v>0</v>
      </c>
      <c r="P5" s="4">
        <f t="shared" si="3"/>
        <v>0</v>
      </c>
      <c r="Q5" s="4">
        <f t="shared" si="3"/>
        <v>0</v>
      </c>
      <c r="R5" s="4">
        <f t="shared" si="3"/>
        <v>0</v>
      </c>
      <c r="S5" s="4">
        <f t="shared" si="3"/>
        <v>0</v>
      </c>
      <c r="T5" s="4">
        <f t="shared" si="3"/>
        <v>0</v>
      </c>
    </row>
    <row r="6" spans="1:20" s="11" customFormat="1" ht="11.25">
      <c r="A6" s="8"/>
      <c r="B6" s="8"/>
      <c r="C6" s="8"/>
      <c r="D6" s="8"/>
      <c r="E6" s="8" t="s">
        <v>9</v>
      </c>
      <c r="F6" s="9">
        <v>0</v>
      </c>
      <c r="G6" s="9">
        <v>0</v>
      </c>
      <c r="H6" s="10">
        <f t="shared" si="1"/>
        <v>0</v>
      </c>
      <c r="I6" s="41">
        <f aca="true" t="shared" si="4" ref="I6:T7">I77</f>
        <v>0</v>
      </c>
      <c r="J6" s="41">
        <f t="shared" si="4"/>
        <v>0</v>
      </c>
      <c r="K6" s="41">
        <f t="shared" si="4"/>
        <v>0</v>
      </c>
      <c r="L6" s="41">
        <f t="shared" si="4"/>
        <v>0</v>
      </c>
      <c r="M6" s="41">
        <f t="shared" si="4"/>
        <v>0</v>
      </c>
      <c r="N6" s="9">
        <f t="shared" si="4"/>
        <v>0</v>
      </c>
      <c r="O6" s="9">
        <f t="shared" si="4"/>
        <v>0</v>
      </c>
      <c r="P6" s="9">
        <f t="shared" si="4"/>
        <v>0</v>
      </c>
      <c r="Q6" s="9">
        <f t="shared" si="4"/>
        <v>0</v>
      </c>
      <c r="R6" s="9">
        <f t="shared" si="4"/>
        <v>0</v>
      </c>
      <c r="S6" s="9">
        <f t="shared" si="4"/>
        <v>0</v>
      </c>
      <c r="T6" s="9">
        <f t="shared" si="4"/>
        <v>0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39.55</v>
      </c>
      <c r="G7" s="13">
        <v>986.48</v>
      </c>
      <c r="H7" s="10">
        <f t="shared" si="1"/>
        <v>0</v>
      </c>
      <c r="I7" s="38">
        <f t="shared" si="4"/>
        <v>0</v>
      </c>
      <c r="J7" s="38">
        <f t="shared" si="4"/>
        <v>0</v>
      </c>
      <c r="K7" s="38">
        <f t="shared" si="4"/>
        <v>0</v>
      </c>
      <c r="L7" s="38">
        <f t="shared" si="4"/>
        <v>0</v>
      </c>
      <c r="M7" s="38">
        <f t="shared" si="4"/>
        <v>0</v>
      </c>
      <c r="N7" s="13">
        <f t="shared" si="4"/>
        <v>0</v>
      </c>
      <c r="O7" s="13">
        <f t="shared" si="4"/>
        <v>0</v>
      </c>
      <c r="P7" s="13">
        <f t="shared" si="4"/>
        <v>0</v>
      </c>
      <c r="Q7" s="13">
        <f t="shared" si="4"/>
        <v>0</v>
      </c>
      <c r="R7" s="13">
        <f t="shared" si="4"/>
        <v>0</v>
      </c>
      <c r="S7" s="13">
        <f t="shared" si="4"/>
        <v>0</v>
      </c>
      <c r="T7" s="13">
        <f t="shared" si="4"/>
        <v>0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5" ref="M8:T8">M9+M11</f>
        <v>0</v>
      </c>
      <c r="N8" s="4">
        <f t="shared" si="5"/>
        <v>0</v>
      </c>
      <c r="O8" s="4">
        <f t="shared" si="5"/>
        <v>0</v>
      </c>
      <c r="P8" s="4">
        <f t="shared" si="5"/>
        <v>0</v>
      </c>
      <c r="Q8" s="4">
        <f t="shared" si="5"/>
        <v>0</v>
      </c>
      <c r="R8" s="4">
        <f t="shared" si="5"/>
        <v>0</v>
      </c>
      <c r="S8" s="4">
        <f t="shared" si="5"/>
        <v>0</v>
      </c>
      <c r="T8" s="4">
        <f t="shared" si="5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0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13327.03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13327.03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13327.03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13327.03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13327.03</v>
      </c>
      <c r="I14" s="38"/>
      <c r="J14" s="38"/>
      <c r="K14" s="38"/>
      <c r="L14" s="38"/>
      <c r="M14" s="38"/>
      <c r="N14" s="13"/>
      <c r="O14" s="13"/>
      <c r="P14" s="13"/>
      <c r="Q14" s="13">
        <v>13327.03</v>
      </c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-2500</v>
      </c>
      <c r="G15" s="4">
        <f>G16</f>
        <v>-2000</v>
      </c>
      <c r="H15" s="7">
        <f t="shared" si="1"/>
        <v>-500</v>
      </c>
      <c r="I15" s="40">
        <f aca="true" t="shared" si="8" ref="I15:T16">I16</f>
        <v>-500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-2500</v>
      </c>
      <c r="G16" s="4">
        <f>G17</f>
        <v>-2000</v>
      </c>
      <c r="H16" s="7">
        <f t="shared" si="1"/>
        <v>-500</v>
      </c>
      <c r="I16" s="40">
        <f t="shared" si="8"/>
        <v>-500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>
        <v>-2500</v>
      </c>
      <c r="G17" s="4">
        <v>-2000</v>
      </c>
      <c r="H17" s="7">
        <f t="shared" si="1"/>
        <v>-500</v>
      </c>
      <c r="I17" s="40">
        <v>-500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-1433092.4</v>
      </c>
      <c r="G18" s="4">
        <f>G19+G27</f>
        <v>-1330045</v>
      </c>
      <c r="H18" s="7">
        <f t="shared" si="1"/>
        <v>-1410793.97</v>
      </c>
      <c r="I18" s="40">
        <f>I19+I27</f>
        <v>-111101.72</v>
      </c>
      <c r="J18" s="40">
        <f>J19+J27</f>
        <v>-131025.69</v>
      </c>
      <c r="K18" s="40">
        <f>K19+K27</f>
        <v>-118643.92</v>
      </c>
      <c r="L18" s="40">
        <f>L19+L27</f>
        <v>-121627.59999999999</v>
      </c>
      <c r="M18" s="40">
        <f aca="true" t="shared" si="9" ref="M18:T18">M19+M27</f>
        <v>-122232.7</v>
      </c>
      <c r="N18" s="4">
        <f t="shared" si="9"/>
        <v>-90637.52</v>
      </c>
      <c r="O18" s="4">
        <f t="shared" si="9"/>
        <v>-87466.59999999999</v>
      </c>
      <c r="P18" s="4">
        <f t="shared" si="9"/>
        <v>-220097.68</v>
      </c>
      <c r="Q18" s="4">
        <f t="shared" si="9"/>
        <v>-104855.98</v>
      </c>
      <c r="R18" s="4">
        <f t="shared" si="9"/>
        <v>-119173.27</v>
      </c>
      <c r="S18" s="4">
        <f t="shared" si="9"/>
        <v>-94941.2</v>
      </c>
      <c r="T18" s="4">
        <f t="shared" si="9"/>
        <v>-88990.09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-1053085.63</v>
      </c>
      <c r="G19" s="4">
        <f>G20+G26+G23</f>
        <v>-1017788.08</v>
      </c>
      <c r="H19" s="7">
        <f t="shared" si="1"/>
        <v>-1068459.6</v>
      </c>
      <c r="I19" s="40">
        <f>I20+I26+I23</f>
        <v>-87065</v>
      </c>
      <c r="J19" s="40">
        <f>J20+J26+J23</f>
        <v>-87064</v>
      </c>
      <c r="K19" s="40">
        <f>K20+K26+K23</f>
        <v>-86840.45</v>
      </c>
      <c r="L19" s="40">
        <f>L20+L26+L23</f>
        <v>-104018.65</v>
      </c>
      <c r="M19" s="40">
        <f aca="true" t="shared" si="10" ref="M19:T19">M20+M26+M23</f>
        <v>-85457.95</v>
      </c>
      <c r="N19" s="4">
        <f t="shared" si="10"/>
        <v>-76421.55</v>
      </c>
      <c r="O19" s="4">
        <f t="shared" si="10"/>
        <v>-77189.65</v>
      </c>
      <c r="P19" s="4">
        <f t="shared" si="10"/>
        <v>-176214.25</v>
      </c>
      <c r="Q19" s="4">
        <f t="shared" si="10"/>
        <v>-77973</v>
      </c>
      <c r="R19" s="4">
        <f t="shared" si="10"/>
        <v>-81077.85</v>
      </c>
      <c r="S19" s="4">
        <f t="shared" si="10"/>
        <v>-74784.25</v>
      </c>
      <c r="T19" s="4">
        <f t="shared" si="10"/>
        <v>-54353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-784443.57</v>
      </c>
      <c r="G20" s="4">
        <f>SUM(G21:G22)</f>
        <v>-756749.45</v>
      </c>
      <c r="H20" s="7">
        <f t="shared" si="1"/>
        <v>-795311.6</v>
      </c>
      <c r="I20" s="40">
        <f>SUM(I21:I22)</f>
        <v>-65030</v>
      </c>
      <c r="J20" s="40">
        <f>SUM(J21:J22)</f>
        <v>-65030</v>
      </c>
      <c r="K20" s="40">
        <f>SUM(K21:K22)</f>
        <v>-64862.45</v>
      </c>
      <c r="L20" s="40">
        <f>SUM(L21:L22)</f>
        <v>-75511.65</v>
      </c>
      <c r="M20" s="40">
        <f aca="true" t="shared" si="11" ref="M20:T20">SUM(M21:M22)</f>
        <v>-63819.95</v>
      </c>
      <c r="N20" s="4">
        <f t="shared" si="11"/>
        <v>-57085.55</v>
      </c>
      <c r="O20" s="4">
        <f t="shared" si="11"/>
        <v>-57657.65</v>
      </c>
      <c r="P20" s="4">
        <f t="shared" si="11"/>
        <v>-132105.25</v>
      </c>
      <c r="Q20" s="4">
        <f t="shared" si="11"/>
        <v>-58240</v>
      </c>
      <c r="R20" s="4">
        <f t="shared" si="11"/>
        <v>-60549.85</v>
      </c>
      <c r="S20" s="4">
        <f t="shared" si="11"/>
        <v>-55867.25</v>
      </c>
      <c r="T20" s="4">
        <f t="shared" si="11"/>
        <v>-39552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-784443.57</v>
      </c>
      <c r="G21" s="13">
        <v>-756749.45</v>
      </c>
      <c r="H21" s="10">
        <f t="shared" si="1"/>
        <v>-795311.6</v>
      </c>
      <c r="I21" s="38">
        <v>-65030</v>
      </c>
      <c r="J21" s="38">
        <v>-65030</v>
      </c>
      <c r="K21" s="38">
        <v>-64862.45</v>
      </c>
      <c r="L21" s="38">
        <v>-75511.65</v>
      </c>
      <c r="M21" s="38">
        <v>-63819.95</v>
      </c>
      <c r="N21" s="13">
        <v>-57085.55</v>
      </c>
      <c r="O21" s="13">
        <v>-57657.65</v>
      </c>
      <c r="P21" s="13">
        <v>-132105.25</v>
      </c>
      <c r="Q21" s="13">
        <v>-58240</v>
      </c>
      <c r="R21" s="13">
        <v>-60549.85</v>
      </c>
      <c r="S21" s="13">
        <v>-55867.25</v>
      </c>
      <c r="T21" s="13">
        <v>-39552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>
        <v>0</v>
      </c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-7605</v>
      </c>
      <c r="G23" s="15">
        <f>SUM(G24:G25)</f>
        <v>-3506.63</v>
      </c>
      <c r="H23" s="7">
        <f t="shared" si="1"/>
        <v>-4252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-3127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-1125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>
        <v>-3375</v>
      </c>
      <c r="G24" s="13">
        <v>-3506.63</v>
      </c>
      <c r="H24" s="10">
        <f t="shared" si="1"/>
        <v>-3127</v>
      </c>
      <c r="I24" s="38"/>
      <c r="J24" s="38"/>
      <c r="K24" s="38"/>
      <c r="L24" s="38">
        <v>-3127</v>
      </c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273</v>
      </c>
      <c r="F25" s="13">
        <v>-4230</v>
      </c>
      <c r="G25" s="13"/>
      <c r="H25" s="10">
        <f t="shared" si="1"/>
        <v>-1125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>
        <v>-1125</v>
      </c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-261037.06</v>
      </c>
      <c r="G26" s="4">
        <v>-257532</v>
      </c>
      <c r="H26" s="7">
        <f t="shared" si="1"/>
        <v>-268896</v>
      </c>
      <c r="I26" s="40">
        <v>-22035</v>
      </c>
      <c r="J26" s="40">
        <v>-22034</v>
      </c>
      <c r="K26" s="40">
        <v>-21978</v>
      </c>
      <c r="L26" s="40">
        <v>-25380</v>
      </c>
      <c r="M26" s="40">
        <v>-21638</v>
      </c>
      <c r="N26" s="4">
        <v>-19336</v>
      </c>
      <c r="O26" s="4">
        <v>-19532</v>
      </c>
      <c r="P26" s="4">
        <v>-44109</v>
      </c>
      <c r="Q26" s="4">
        <v>-19733</v>
      </c>
      <c r="R26" s="4">
        <v>-20528</v>
      </c>
      <c r="S26" s="4">
        <v>-18917</v>
      </c>
      <c r="T26" s="4">
        <v>-13676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-380006.77</v>
      </c>
      <c r="G27" s="4">
        <f>SUM(G28:G41)</f>
        <v>-312256.92</v>
      </c>
      <c r="H27" s="7">
        <f t="shared" si="1"/>
        <v>-342334.37</v>
      </c>
      <c r="I27" s="40">
        <f>SUM(I28:I41)</f>
        <v>-24036.72</v>
      </c>
      <c r="J27" s="40">
        <f aca="true" t="shared" si="13" ref="J27:T27">SUM(J28:J41)</f>
        <v>-43961.69</v>
      </c>
      <c r="K27" s="40">
        <f t="shared" si="13"/>
        <v>-31803.469999999998</v>
      </c>
      <c r="L27" s="40">
        <f t="shared" si="13"/>
        <v>-17608.949999999997</v>
      </c>
      <c r="M27" s="40">
        <f t="shared" si="13"/>
        <v>-36774.75</v>
      </c>
      <c r="N27" s="4">
        <f t="shared" si="13"/>
        <v>-14215.97</v>
      </c>
      <c r="O27" s="4">
        <f t="shared" si="13"/>
        <v>-10276.95</v>
      </c>
      <c r="P27" s="4">
        <f t="shared" si="13"/>
        <v>-43883.43</v>
      </c>
      <c r="Q27" s="4">
        <f t="shared" si="13"/>
        <v>-26882.98</v>
      </c>
      <c r="R27" s="4">
        <f t="shared" si="13"/>
        <v>-38095.42</v>
      </c>
      <c r="S27" s="4">
        <f t="shared" si="13"/>
        <v>-20156.95</v>
      </c>
      <c r="T27" s="4">
        <f t="shared" si="13"/>
        <v>-34637.09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-110886.5</v>
      </c>
      <c r="G28" s="13">
        <v>-108314.03</v>
      </c>
      <c r="H28" s="10">
        <f t="shared" si="1"/>
        <v>-125498.26</v>
      </c>
      <c r="I28" s="38">
        <v>-10660.83</v>
      </c>
      <c r="J28" s="38">
        <v>-33913.59</v>
      </c>
      <c r="K28" s="38">
        <v>-9427.81</v>
      </c>
      <c r="L28" s="38">
        <v>-7056.37</v>
      </c>
      <c r="M28" s="38">
        <v>-4512.03</v>
      </c>
      <c r="N28" s="13">
        <v>-4241.92</v>
      </c>
      <c r="O28" s="13">
        <v>-4688.07</v>
      </c>
      <c r="P28" s="13">
        <v>-10234.35</v>
      </c>
      <c r="Q28" s="13">
        <v>-5243.93</v>
      </c>
      <c r="R28" s="13">
        <v>-18980.95</v>
      </c>
      <c r="S28" s="13">
        <v>-6390.74</v>
      </c>
      <c r="T28" s="13">
        <v>-10147.67</v>
      </c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>
        <v>-15542.59</v>
      </c>
      <c r="G29" s="13">
        <f>-5341.81-6000</f>
        <v>-11341.810000000001</v>
      </c>
      <c r="H29" s="10">
        <f t="shared" si="1"/>
        <v>-1900</v>
      </c>
      <c r="I29" s="38"/>
      <c r="J29" s="38"/>
      <c r="K29" s="38"/>
      <c r="L29" s="38"/>
      <c r="M29" s="38"/>
      <c r="N29" s="13"/>
      <c r="O29" s="13">
        <v>0</v>
      </c>
      <c r="P29" s="13">
        <v>0</v>
      </c>
      <c r="Q29" s="13">
        <v>-1900</v>
      </c>
      <c r="R29" s="13"/>
      <c r="S29" s="13"/>
      <c r="T29" s="13">
        <v>0</v>
      </c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-24084.35</v>
      </c>
      <c r="G30" s="13">
        <v>-27521.18</v>
      </c>
      <c r="H30" s="10">
        <f t="shared" si="1"/>
        <v>-3798.79</v>
      </c>
      <c r="I30" s="38">
        <v>-149.62</v>
      </c>
      <c r="J30" s="38">
        <v>-196.95</v>
      </c>
      <c r="K30" s="38">
        <v>-648.64</v>
      </c>
      <c r="L30" s="38">
        <v>-115.12</v>
      </c>
      <c r="M30" s="38">
        <v>-119.67</v>
      </c>
      <c r="N30" s="13">
        <v>-42.29</v>
      </c>
      <c r="O30" s="13">
        <v>-42.29</v>
      </c>
      <c r="P30" s="13">
        <v>-553.77</v>
      </c>
      <c r="Q30" s="13">
        <v>-792.3</v>
      </c>
      <c r="R30" s="13">
        <v>-230.46</v>
      </c>
      <c r="S30" s="13">
        <v>-386.63</v>
      </c>
      <c r="T30" s="13">
        <v>-521.05</v>
      </c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0</v>
      </c>
      <c r="G31" s="13">
        <v>-148.31</v>
      </c>
      <c r="H31" s="10">
        <f t="shared" si="1"/>
        <v>-183.26</v>
      </c>
      <c r="I31" s="38"/>
      <c r="J31" s="38"/>
      <c r="K31" s="38"/>
      <c r="L31" s="38"/>
      <c r="M31" s="38"/>
      <c r="N31" s="13"/>
      <c r="O31" s="13"/>
      <c r="P31" s="13"/>
      <c r="Q31" s="13">
        <v>-6.34</v>
      </c>
      <c r="R31" s="13">
        <v>-176.92</v>
      </c>
      <c r="S31" s="13"/>
      <c r="T31" s="13"/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-154381.13</v>
      </c>
      <c r="G32" s="13">
        <v>-131855.43</v>
      </c>
      <c r="H32" s="10">
        <f t="shared" si="1"/>
        <v>-153390.5</v>
      </c>
      <c r="I32" s="38">
        <v>-11733.77</v>
      </c>
      <c r="J32" s="38">
        <v>-8759.91</v>
      </c>
      <c r="K32" s="38">
        <v>-9099.25</v>
      </c>
      <c r="L32" s="38">
        <v>-10437.46</v>
      </c>
      <c r="M32" s="38">
        <v>-21106.72</v>
      </c>
      <c r="N32" s="13">
        <v>-6243.41</v>
      </c>
      <c r="O32" s="13">
        <v>-5546.59</v>
      </c>
      <c r="P32" s="13">
        <v>-17392.14</v>
      </c>
      <c r="Q32" s="13">
        <v>-15252.06</v>
      </c>
      <c r="R32" s="13">
        <v>-18672.92</v>
      </c>
      <c r="S32" s="13">
        <v>-13379.58</v>
      </c>
      <c r="T32" s="13">
        <v>-15766.69</v>
      </c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>
        <v>-36435.3</v>
      </c>
      <c r="G33" s="13">
        <v>-16372.51</v>
      </c>
      <c r="H33" s="10">
        <f t="shared" si="1"/>
        <v>-45260.56</v>
      </c>
      <c r="I33" s="38"/>
      <c r="J33" s="38">
        <v>-925.41</v>
      </c>
      <c r="K33" s="38">
        <v>-6020.27</v>
      </c>
      <c r="L33" s="38"/>
      <c r="M33" s="38">
        <v>-10858.33</v>
      </c>
      <c r="N33" s="13">
        <v>-3688.35</v>
      </c>
      <c r="O33" s="13">
        <v>0</v>
      </c>
      <c r="P33" s="13">
        <v>-15703.17</v>
      </c>
      <c r="Q33" s="13">
        <v>-3688.35</v>
      </c>
      <c r="R33" s="13">
        <v>0</v>
      </c>
      <c r="S33" s="13"/>
      <c r="T33" s="13">
        <v>-4376.68</v>
      </c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-38131.21</v>
      </c>
      <c r="G34" s="13">
        <v>-16501.92</v>
      </c>
      <c r="H34" s="10">
        <f t="shared" si="1"/>
        <v>-12125</v>
      </c>
      <c r="I34" s="38">
        <v>-1492.5</v>
      </c>
      <c r="J34" s="38">
        <v>-165.83</v>
      </c>
      <c r="K34" s="38">
        <v>-6607.5</v>
      </c>
      <c r="L34" s="38"/>
      <c r="M34" s="38"/>
      <c r="N34" s="13"/>
      <c r="O34" s="13">
        <v>0</v>
      </c>
      <c r="P34" s="13">
        <v>0</v>
      </c>
      <c r="Q34" s="13"/>
      <c r="R34" s="13">
        <v>-34.17</v>
      </c>
      <c r="S34" s="13"/>
      <c r="T34" s="13">
        <v>-3825</v>
      </c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>
        <v>-545.69</v>
      </c>
      <c r="G35" s="13">
        <v>-201.73</v>
      </c>
      <c r="H35" s="10">
        <f t="shared" si="1"/>
        <v>0</v>
      </c>
      <c r="I35" s="38"/>
      <c r="J35" s="38"/>
      <c r="K35" s="38"/>
      <c r="L35" s="38"/>
      <c r="M35" s="38"/>
      <c r="N35" s="13"/>
      <c r="O35" s="13">
        <v>0</v>
      </c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0</v>
      </c>
      <c r="G38" s="13"/>
      <c r="H38" s="10">
        <f t="shared" si="1"/>
        <v>0</v>
      </c>
      <c r="I38" s="38"/>
      <c r="J38" s="38">
        <f>(J81+J84)*-1</f>
        <v>0</v>
      </c>
      <c r="K38" s="38">
        <f>(K81+K84)*-1</f>
        <v>0</v>
      </c>
      <c r="L38" s="38">
        <f>(L81+L84)*-1</f>
        <v>0</v>
      </c>
      <c r="M38" s="38">
        <f aca="true" t="shared" si="14" ref="M38:T38">(M81+M84)*-1</f>
        <v>0</v>
      </c>
      <c r="N38" s="13">
        <f t="shared" si="14"/>
        <v>0</v>
      </c>
      <c r="O38" s="13">
        <f t="shared" si="14"/>
        <v>0</v>
      </c>
      <c r="P38" s="13">
        <f t="shared" si="14"/>
        <v>0</v>
      </c>
      <c r="Q38" s="13">
        <f t="shared" si="14"/>
        <v>0</v>
      </c>
      <c r="R38" s="13">
        <f t="shared" si="14"/>
        <v>0</v>
      </c>
      <c r="S38" s="13">
        <f t="shared" si="14"/>
        <v>0</v>
      </c>
      <c r="T38" s="13">
        <f t="shared" si="14"/>
        <v>0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-178</v>
      </c>
      <c r="I41" s="38"/>
      <c r="J41" s="38"/>
      <c r="K41" s="38"/>
      <c r="L41" s="38"/>
      <c r="M41" s="38">
        <v>-178</v>
      </c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-24927.859999999997</v>
      </c>
      <c r="G42" s="4">
        <f>G43+G48+G55+G58</f>
        <v>-36049.09</v>
      </c>
      <c r="H42" s="4">
        <f t="shared" si="1"/>
        <v>-85940.55</v>
      </c>
      <c r="I42" s="40">
        <f aca="true" t="shared" si="15" ref="I42:T42">I43+I48+I55+I58</f>
        <v>-5684.4400000000005</v>
      </c>
      <c r="J42" s="40">
        <f t="shared" si="15"/>
        <v>-14443.32</v>
      </c>
      <c r="K42" s="40">
        <f t="shared" si="15"/>
        <v>-2705.38</v>
      </c>
      <c r="L42" s="40">
        <f t="shared" si="15"/>
        <v>-6487.79</v>
      </c>
      <c r="M42" s="40">
        <f t="shared" si="15"/>
        <v>-6703.82</v>
      </c>
      <c r="N42" s="4">
        <f t="shared" si="15"/>
        <v>-6204.32</v>
      </c>
      <c r="O42" s="4">
        <f t="shared" si="15"/>
        <v>-6459.71</v>
      </c>
      <c r="P42" s="4">
        <f t="shared" si="15"/>
        <v>-6980.12</v>
      </c>
      <c r="Q42" s="4">
        <f t="shared" si="15"/>
        <v>-6384.87</v>
      </c>
      <c r="R42" s="4">
        <f>R43+R48+R55+R58</f>
        <v>-5951.3099999999995</v>
      </c>
      <c r="S42" s="4">
        <f t="shared" si="15"/>
        <v>-3149.92</v>
      </c>
      <c r="T42" s="4">
        <f t="shared" si="15"/>
        <v>-14785.55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-1554.67</v>
      </c>
      <c r="G43" s="4">
        <f>G44+G46+G47</f>
        <v>0</v>
      </c>
      <c r="H43" s="7">
        <f t="shared" si="1"/>
        <v>-12451.759999999998</v>
      </c>
      <c r="I43" s="40">
        <f aca="true" t="shared" si="16" ref="I43:T43">I44+I46+I47</f>
        <v>-163.98</v>
      </c>
      <c r="J43" s="40">
        <f t="shared" si="16"/>
        <v>-9406</v>
      </c>
      <c r="K43" s="40">
        <f t="shared" si="16"/>
        <v>-1007.91</v>
      </c>
      <c r="L43" s="40">
        <f t="shared" si="16"/>
        <v>-280</v>
      </c>
      <c r="M43" s="40">
        <f t="shared" si="16"/>
        <v>0</v>
      </c>
      <c r="N43" s="4">
        <f t="shared" si="16"/>
        <v>0</v>
      </c>
      <c r="O43" s="4">
        <f t="shared" si="16"/>
        <v>0</v>
      </c>
      <c r="P43" s="4">
        <f t="shared" si="16"/>
        <v>-280</v>
      </c>
      <c r="Q43" s="4">
        <f t="shared" si="16"/>
        <v>0</v>
      </c>
      <c r="R43" s="4">
        <f t="shared" si="16"/>
        <v>-1033.87</v>
      </c>
      <c r="S43" s="4">
        <f t="shared" si="16"/>
        <v>-280</v>
      </c>
      <c r="T43" s="4">
        <f t="shared" si="16"/>
        <v>0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-1554.67</v>
      </c>
      <c r="G44" s="4">
        <f>G45</f>
        <v>0</v>
      </c>
      <c r="H44" s="7">
        <f t="shared" si="1"/>
        <v>-11470.91</v>
      </c>
      <c r="I44" s="40">
        <f>I45</f>
        <v>0</v>
      </c>
      <c r="J44" s="40">
        <f>J45</f>
        <v>-9406</v>
      </c>
      <c r="K44" s="40">
        <f>K45</f>
        <v>-1007.91</v>
      </c>
      <c r="L44" s="40">
        <f>L45</f>
        <v>-280</v>
      </c>
      <c r="M44" s="40">
        <f aca="true" t="shared" si="17" ref="M44:T44">M45</f>
        <v>0</v>
      </c>
      <c r="N44" s="4">
        <f t="shared" si="17"/>
        <v>0</v>
      </c>
      <c r="O44" s="4">
        <f t="shared" si="17"/>
        <v>0</v>
      </c>
      <c r="P44" s="4">
        <f t="shared" si="17"/>
        <v>-280</v>
      </c>
      <c r="Q44" s="4">
        <f t="shared" si="17"/>
        <v>0</v>
      </c>
      <c r="R44" s="4">
        <f t="shared" si="17"/>
        <v>-217</v>
      </c>
      <c r="S44" s="4">
        <f t="shared" si="17"/>
        <v>-280</v>
      </c>
      <c r="T44" s="4">
        <f t="shared" si="17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-1554.67</v>
      </c>
      <c r="G45" s="13"/>
      <c r="H45" s="10">
        <f t="shared" si="1"/>
        <v>-11470.91</v>
      </c>
      <c r="I45" s="38"/>
      <c r="J45" s="38">
        <v>-9406</v>
      </c>
      <c r="K45" s="38">
        <v>-1007.91</v>
      </c>
      <c r="L45" s="38">
        <v>-280</v>
      </c>
      <c r="M45" s="38">
        <v>0</v>
      </c>
      <c r="N45" s="13"/>
      <c r="O45" s="13"/>
      <c r="P45" s="13">
        <v>-280</v>
      </c>
      <c r="Q45" s="13"/>
      <c r="R45" s="13">
        <v>-217</v>
      </c>
      <c r="S45" s="13">
        <v>-280</v>
      </c>
      <c r="T45" s="13">
        <v>0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0</v>
      </c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-980.85</v>
      </c>
      <c r="I47" s="42">
        <v>-163.98</v>
      </c>
      <c r="J47" s="42"/>
      <c r="K47" s="42"/>
      <c r="L47" s="42"/>
      <c r="M47" s="42"/>
      <c r="N47" s="15"/>
      <c r="O47" s="15"/>
      <c r="P47" s="15"/>
      <c r="Q47" s="15"/>
      <c r="R47" s="15">
        <v>-816.87</v>
      </c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-21261</v>
      </c>
      <c r="G48" s="4">
        <f>G54+G49</f>
        <v>-17806.67</v>
      </c>
      <c r="H48" s="7">
        <f t="shared" si="1"/>
        <v>-35480.91</v>
      </c>
      <c r="I48" s="40">
        <f>I54+I49</f>
        <v>-1341</v>
      </c>
      <c r="J48" s="40">
        <f>J54+J49</f>
        <v>-1341</v>
      </c>
      <c r="K48" s="40">
        <f>K54+K49</f>
        <v>-1342</v>
      </c>
      <c r="L48" s="40">
        <f>L54+L49</f>
        <v>-2514</v>
      </c>
      <c r="M48" s="40">
        <f aca="true" t="shared" si="18" ref="M48:T48">M54+M49</f>
        <v>-2515</v>
      </c>
      <c r="N48" s="4">
        <f t="shared" si="18"/>
        <v>-2514</v>
      </c>
      <c r="O48" s="4">
        <f t="shared" si="18"/>
        <v>-2514</v>
      </c>
      <c r="P48" s="4">
        <f t="shared" si="18"/>
        <v>-2514</v>
      </c>
      <c r="Q48" s="4">
        <f t="shared" si="18"/>
        <v>-2516</v>
      </c>
      <c r="R48" s="4">
        <f t="shared" si="18"/>
        <v>-1393</v>
      </c>
      <c r="S48" s="4">
        <f t="shared" si="18"/>
        <v>-1393</v>
      </c>
      <c r="T48" s="4">
        <f t="shared" si="18"/>
        <v>-13583.91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v>-21261</v>
      </c>
      <c r="G49" s="4">
        <f>SUM(G50:G53)</f>
        <v>-17806.67</v>
      </c>
      <c r="H49" s="7">
        <f t="shared" si="1"/>
        <v>-35480.91</v>
      </c>
      <c r="I49" s="40">
        <f>SUM(I50:I53)</f>
        <v>-1341</v>
      </c>
      <c r="J49" s="40">
        <f>SUM(J50:J53)</f>
        <v>-1341</v>
      </c>
      <c r="K49" s="40">
        <f>SUM(K50:K53)</f>
        <v>-1342</v>
      </c>
      <c r="L49" s="40">
        <f>SUM(L50:L53)</f>
        <v>-2514</v>
      </c>
      <c r="M49" s="40">
        <f aca="true" t="shared" si="19" ref="M49:T49">SUM(M50:M53)</f>
        <v>-2515</v>
      </c>
      <c r="N49" s="4">
        <f t="shared" si="19"/>
        <v>-2514</v>
      </c>
      <c r="O49" s="4">
        <f t="shared" si="19"/>
        <v>-2514</v>
      </c>
      <c r="P49" s="4">
        <f t="shared" si="19"/>
        <v>-2514</v>
      </c>
      <c r="Q49" s="4">
        <f t="shared" si="19"/>
        <v>-2516</v>
      </c>
      <c r="R49" s="4">
        <f t="shared" si="19"/>
        <v>-1393</v>
      </c>
      <c r="S49" s="4">
        <f t="shared" si="19"/>
        <v>-1393</v>
      </c>
      <c r="T49" s="4">
        <f t="shared" si="19"/>
        <v>-13583.91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0</v>
      </c>
      <c r="G50" s="13">
        <v>-250.67</v>
      </c>
      <c r="H50" s="10">
        <f t="shared" si="1"/>
        <v>0</v>
      </c>
      <c r="I50" s="38">
        <v>0</v>
      </c>
      <c r="J50" s="38"/>
      <c r="K50" s="38"/>
      <c r="L50" s="38"/>
      <c r="M50" s="38"/>
      <c r="N50" s="13"/>
      <c r="O50" s="13"/>
      <c r="P50" s="13"/>
      <c r="Q50" s="13"/>
      <c r="R50" s="13"/>
      <c r="S50" s="13"/>
      <c r="T50" s="13"/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>
        <v>-11209</v>
      </c>
      <c r="G51" s="13">
        <v>-13451</v>
      </c>
      <c r="H51" s="10">
        <f t="shared" si="1"/>
        <v>-20649</v>
      </c>
      <c r="I51" s="38">
        <v>-1121</v>
      </c>
      <c r="J51" s="38">
        <v>-1121</v>
      </c>
      <c r="K51" s="38">
        <v>-1121</v>
      </c>
      <c r="L51" s="38">
        <v>-2294</v>
      </c>
      <c r="M51" s="38">
        <v>-2295</v>
      </c>
      <c r="N51" s="13">
        <v>-2294</v>
      </c>
      <c r="O51" s="13">
        <v>-2294</v>
      </c>
      <c r="P51" s="13">
        <v>-2294</v>
      </c>
      <c r="Q51" s="13">
        <v>-2295</v>
      </c>
      <c r="R51" s="13">
        <v>-1173</v>
      </c>
      <c r="S51" s="13">
        <v>-1173</v>
      </c>
      <c r="T51" s="13">
        <v>-1174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>
        <v>-10052</v>
      </c>
      <c r="G52" s="13">
        <v>-4105</v>
      </c>
      <c r="H52" s="10">
        <f t="shared" si="1"/>
        <v>-14831.91</v>
      </c>
      <c r="I52" s="38">
        <v>-220</v>
      </c>
      <c r="J52" s="38">
        <v>-220</v>
      </c>
      <c r="K52" s="38">
        <v>-221</v>
      </c>
      <c r="L52" s="38">
        <v>-220</v>
      </c>
      <c r="M52" s="38">
        <v>-220</v>
      </c>
      <c r="N52" s="13">
        <v>-220</v>
      </c>
      <c r="O52" s="13">
        <v>-220</v>
      </c>
      <c r="P52" s="13">
        <v>-220</v>
      </c>
      <c r="Q52" s="13">
        <v>-221</v>
      </c>
      <c r="R52" s="13">
        <v>-220</v>
      </c>
      <c r="S52" s="13">
        <v>-220</v>
      </c>
      <c r="T52" s="13">
        <v>-12409.91</v>
      </c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>
        <v>0</v>
      </c>
      <c r="G53" s="13">
        <v>0</v>
      </c>
      <c r="H53" s="10">
        <f t="shared" si="1"/>
        <v>0</v>
      </c>
      <c r="I53" s="38">
        <v>0</v>
      </c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-2112.19</v>
      </c>
      <c r="G55" s="4">
        <f>G57+G56</f>
        <v>-17877.420000000002</v>
      </c>
      <c r="H55" s="7">
        <f t="shared" si="1"/>
        <v>-38007.88</v>
      </c>
      <c r="I55" s="40">
        <f>I57+I56</f>
        <v>-4179.46</v>
      </c>
      <c r="J55" s="40">
        <f>J57+J56</f>
        <v>-3696.32</v>
      </c>
      <c r="K55" s="40">
        <f>K57+K56</f>
        <v>-355.47</v>
      </c>
      <c r="L55" s="40">
        <f>L57+L56</f>
        <v>-3693.79</v>
      </c>
      <c r="M55" s="40">
        <f aca="true" t="shared" si="20" ref="M55:T55">M57+M56</f>
        <v>-4188.82</v>
      </c>
      <c r="N55" s="4">
        <f t="shared" si="20"/>
        <v>-3690.32</v>
      </c>
      <c r="O55" s="4">
        <f t="shared" si="20"/>
        <v>-3945.71</v>
      </c>
      <c r="P55" s="4">
        <f t="shared" si="20"/>
        <v>-4186.12</v>
      </c>
      <c r="Q55" s="4">
        <f t="shared" si="20"/>
        <v>-3868.87</v>
      </c>
      <c r="R55" s="4">
        <f t="shared" si="20"/>
        <v>-3524.44</v>
      </c>
      <c r="S55" s="4">
        <f t="shared" si="20"/>
        <v>-1476.92</v>
      </c>
      <c r="T55" s="4">
        <f t="shared" si="20"/>
        <v>-1201.64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>
        <v>-2861.73</v>
      </c>
      <c r="G56" s="4">
        <v>-37764.08</v>
      </c>
      <c r="H56" s="7">
        <f t="shared" si="1"/>
        <v>-37709.97</v>
      </c>
      <c r="I56" s="40">
        <v>-4179.46</v>
      </c>
      <c r="J56" s="40">
        <v>-3696.32</v>
      </c>
      <c r="K56" s="40"/>
      <c r="L56" s="40">
        <v>-3693.79</v>
      </c>
      <c r="M56" s="40">
        <v>-4188.82</v>
      </c>
      <c r="N56" s="4">
        <v>-3690.32</v>
      </c>
      <c r="O56" s="4">
        <v>-3945.71</v>
      </c>
      <c r="P56" s="4">
        <f>-4186.12</f>
        <v>-4186.12</v>
      </c>
      <c r="Q56" s="4">
        <v>-3868.87</v>
      </c>
      <c r="R56" s="4">
        <v>-3524.44</v>
      </c>
      <c r="S56" s="4">
        <v>-1525.96</v>
      </c>
      <c r="T56" s="4">
        <v>-1210.16</v>
      </c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>
        <v>749.54</v>
      </c>
      <c r="G57" s="4">
        <v>19886.66</v>
      </c>
      <c r="H57" s="7">
        <f t="shared" si="1"/>
        <v>-297.91</v>
      </c>
      <c r="I57" s="40"/>
      <c r="J57" s="40"/>
      <c r="K57" s="40">
        <v>-355.47</v>
      </c>
      <c r="L57" s="40"/>
      <c r="M57" s="40"/>
      <c r="N57" s="4"/>
      <c r="O57" s="4"/>
      <c r="P57" s="4"/>
      <c r="Q57" s="4"/>
      <c r="R57" s="4"/>
      <c r="S57" s="4">
        <v>49.04</v>
      </c>
      <c r="T57" s="4">
        <v>8.52</v>
      </c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>
        <v>0</v>
      </c>
      <c r="G58" s="4">
        <v>-365</v>
      </c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-1460480.71</v>
      </c>
      <c r="G59" s="7">
        <f>G3+G15+G18+G42</f>
        <v>-1367107.61</v>
      </c>
      <c r="H59" s="7">
        <f t="shared" si="1"/>
        <v>-1483907.49</v>
      </c>
      <c r="I59" s="43">
        <f>I3+I15+I18+I42</f>
        <v>-117286.16</v>
      </c>
      <c r="J59" s="43">
        <f>J3+J15+J18+J42</f>
        <v>-145469.01</v>
      </c>
      <c r="K59" s="43">
        <f>K3+K15+K18+K42</f>
        <v>-121349.3</v>
      </c>
      <c r="L59" s="43">
        <f>L3+L15+L18+L42</f>
        <v>-128115.38999999998</v>
      </c>
      <c r="M59" s="43">
        <f aca="true" t="shared" si="21" ref="M59:T59">M3+M15+M18+M42</f>
        <v>-128936.51999999999</v>
      </c>
      <c r="N59" s="7">
        <f t="shared" si="21"/>
        <v>-96841.84</v>
      </c>
      <c r="O59" s="7">
        <f t="shared" si="21"/>
        <v>-93926.31</v>
      </c>
      <c r="P59" s="7">
        <f t="shared" si="21"/>
        <v>-227077.8</v>
      </c>
      <c r="Q59" s="7">
        <f t="shared" si="21"/>
        <v>-97913.81999999999</v>
      </c>
      <c r="R59" s="7">
        <f t="shared" si="21"/>
        <v>-125124.58</v>
      </c>
      <c r="S59" s="7">
        <f t="shared" si="21"/>
        <v>-98091.12</v>
      </c>
      <c r="T59" s="7">
        <f t="shared" si="21"/>
        <v>-103775.64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26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246</v>
      </c>
      <c r="O61" s="5" t="s">
        <v>95</v>
      </c>
      <c r="P61" s="5" t="s">
        <v>96</v>
      </c>
      <c r="Q61" s="5" t="s">
        <v>252</v>
      </c>
      <c r="R61" s="5" t="s">
        <v>262</v>
      </c>
      <c r="S61" s="5" t="s">
        <v>99</v>
      </c>
      <c r="T61" s="5" t="s">
        <v>100</v>
      </c>
    </row>
    <row r="62" spans="1:20" s="69" customFormat="1" ht="12.75">
      <c r="A62" s="109"/>
      <c r="B62" s="109"/>
      <c r="C62" s="109"/>
      <c r="D62" s="109"/>
      <c r="E62" s="109" t="s">
        <v>68</v>
      </c>
      <c r="F62" s="115"/>
      <c r="G62" s="115"/>
      <c r="H62" s="21">
        <f>SUM(I62:T62)</f>
        <v>778972.25</v>
      </c>
      <c r="I62" s="108">
        <f>SUM(I63:I71)</f>
        <v>65030</v>
      </c>
      <c r="J62" s="108">
        <f>SUM(J63:J71)</f>
        <v>65030</v>
      </c>
      <c r="K62" s="108">
        <f>SUM(K63:K71)</f>
        <v>64862.450000000004</v>
      </c>
      <c r="L62" s="108">
        <f>SUM(L63:L71)</f>
        <v>75511.65</v>
      </c>
      <c r="M62" s="108">
        <f aca="true" t="shared" si="22" ref="M62:T62">SUM(M63:M71)</f>
        <v>46908.5</v>
      </c>
      <c r="N62" s="69">
        <f t="shared" si="22"/>
        <v>57657.65</v>
      </c>
      <c r="O62" s="69">
        <f t="shared" si="22"/>
        <v>57657.65</v>
      </c>
      <c r="P62" s="69">
        <f t="shared" si="22"/>
        <v>132105.25</v>
      </c>
      <c r="Q62" s="69">
        <f t="shared" si="22"/>
        <v>58240</v>
      </c>
      <c r="R62" s="69">
        <f t="shared" si="22"/>
        <v>60549.85</v>
      </c>
      <c r="S62" s="69">
        <f t="shared" si="22"/>
        <v>55867.25</v>
      </c>
      <c r="T62" s="69">
        <f t="shared" si="22"/>
        <v>39552</v>
      </c>
    </row>
    <row r="63" spans="1:20" s="27" customFormat="1" ht="11.25">
      <c r="A63" s="24"/>
      <c r="B63" s="24"/>
      <c r="C63" s="24"/>
      <c r="D63" s="24"/>
      <c r="E63" s="24" t="s">
        <v>69</v>
      </c>
      <c r="F63" s="116"/>
      <c r="G63" s="116"/>
      <c r="H63" s="23">
        <f aca="true" t="shared" si="23" ref="H63:H74">SUM(I63:T63)</f>
        <v>674623.1</v>
      </c>
      <c r="I63" s="46">
        <f>24000+17940+22090+1000</f>
        <v>65030</v>
      </c>
      <c r="J63" s="46">
        <f>24000+17940+22090+1000</f>
        <v>65030</v>
      </c>
      <c r="K63" s="46">
        <f>24000+17940+16627.8+1000</f>
        <v>59567.8</v>
      </c>
      <c r="L63" s="46">
        <f>42600+17532.85+1000</f>
        <v>61132.85</v>
      </c>
      <c r="M63" s="46">
        <f>21600+16000</f>
        <v>37600</v>
      </c>
      <c r="N63" s="24">
        <f>21600+16000+12367.3</f>
        <v>49967.3</v>
      </c>
      <c r="O63" s="24">
        <v>49967.3</v>
      </c>
      <c r="P63" s="24">
        <v>61815.6</v>
      </c>
      <c r="Q63" s="24">
        <f>21600+16000+13050+7590</f>
        <v>58240</v>
      </c>
      <c r="R63" s="24">
        <v>53890</v>
      </c>
      <c r="S63" s="24">
        <f>21600+16000+18267.25</f>
        <v>55867.25</v>
      </c>
      <c r="T63" s="24">
        <f>21600+16000+18915</f>
        <v>56515</v>
      </c>
    </row>
    <row r="64" spans="1:20" s="27" customFormat="1" ht="11.25">
      <c r="A64" s="24"/>
      <c r="B64" s="24"/>
      <c r="C64" s="24"/>
      <c r="D64" s="24"/>
      <c r="E64" s="46" t="s">
        <v>70</v>
      </c>
      <c r="F64" s="116"/>
      <c r="G64" s="116"/>
      <c r="H64" s="23">
        <f t="shared" si="23"/>
        <v>7000</v>
      </c>
      <c r="I64" s="47"/>
      <c r="J64" s="47"/>
      <c r="K64" s="47"/>
      <c r="L64" s="47"/>
      <c r="M64" s="47"/>
      <c r="T64" s="27">
        <v>7000</v>
      </c>
    </row>
    <row r="65" spans="1:20" s="27" customFormat="1" ht="11.25">
      <c r="A65" s="24"/>
      <c r="B65" s="24"/>
      <c r="C65" s="24"/>
      <c r="D65" s="24"/>
      <c r="E65" s="46" t="s">
        <v>71</v>
      </c>
      <c r="F65" s="46"/>
      <c r="G65" s="117"/>
      <c r="H65" s="23">
        <f t="shared" si="23"/>
        <v>67949.29999999999</v>
      </c>
      <c r="I65" s="47"/>
      <c r="J65" s="47"/>
      <c r="K65" s="47">
        <v>5294.65</v>
      </c>
      <c r="L65" s="47">
        <f>10946.45+3432.35</f>
        <v>14378.800000000001</v>
      </c>
      <c r="M65" s="47">
        <f>6894.85+1413.8</f>
        <v>8308.65</v>
      </c>
      <c r="N65" s="27">
        <v>7690.35</v>
      </c>
      <c r="O65" s="27">
        <v>7690.35</v>
      </c>
      <c r="P65" s="27">
        <v>70289.65</v>
      </c>
      <c r="R65" s="27">
        <v>6659.85</v>
      </c>
      <c r="T65" s="27">
        <f>-46544+967.4-5823.35-963.05</f>
        <v>-52363</v>
      </c>
    </row>
    <row r="66" spans="1:13" s="27" customFormat="1" ht="11.25">
      <c r="A66" s="24"/>
      <c r="B66" s="24"/>
      <c r="C66" s="24"/>
      <c r="D66" s="24"/>
      <c r="E66" s="46" t="s">
        <v>115</v>
      </c>
      <c r="F66" s="46"/>
      <c r="G66" s="117"/>
      <c r="H66" s="23">
        <f t="shared" si="23"/>
        <v>0</v>
      </c>
      <c r="I66" s="47"/>
      <c r="J66" s="47"/>
      <c r="K66" s="47"/>
      <c r="L66" s="47"/>
      <c r="M66" s="47"/>
    </row>
    <row r="67" spans="1:20" s="27" customFormat="1" ht="11.25">
      <c r="A67" s="24"/>
      <c r="B67" s="24"/>
      <c r="C67" s="24"/>
      <c r="D67" s="24"/>
      <c r="E67" s="46" t="s">
        <v>272</v>
      </c>
      <c r="F67" s="46"/>
      <c r="G67" s="117"/>
      <c r="H67" s="23">
        <f t="shared" si="23"/>
        <v>29399.85</v>
      </c>
      <c r="I67" s="47"/>
      <c r="J67" s="47"/>
      <c r="K67" s="47"/>
      <c r="L67" s="47"/>
      <c r="M67" s="47">
        <v>999.85</v>
      </c>
      <c r="T67" s="27">
        <v>28400</v>
      </c>
    </row>
    <row r="68" spans="1:13" s="27" customFormat="1" ht="11.25">
      <c r="A68" s="24"/>
      <c r="B68" s="24"/>
      <c r="C68" s="24"/>
      <c r="D68" s="24"/>
      <c r="E68" s="46"/>
      <c r="F68" s="46"/>
      <c r="G68" s="117"/>
      <c r="H68" s="23">
        <f t="shared" si="23"/>
        <v>0</v>
      </c>
      <c r="I68" s="47"/>
      <c r="J68" s="47"/>
      <c r="K68" s="47"/>
      <c r="L68" s="47"/>
      <c r="M68" s="47"/>
    </row>
    <row r="69" spans="1:13" s="27" customFormat="1" ht="11.25">
      <c r="A69" s="24"/>
      <c r="B69" s="24"/>
      <c r="C69" s="24"/>
      <c r="D69" s="24"/>
      <c r="E69" s="46" t="s">
        <v>72</v>
      </c>
      <c r="F69" s="46"/>
      <c r="G69" s="46"/>
      <c r="H69" s="23">
        <f t="shared" si="23"/>
        <v>0</v>
      </c>
      <c r="I69" s="47"/>
      <c r="J69" s="47"/>
      <c r="K69" s="47"/>
      <c r="L69" s="47"/>
      <c r="M69" s="47"/>
    </row>
    <row r="70" spans="1:13" s="27" customFormat="1" ht="12.75">
      <c r="A70" s="24"/>
      <c r="B70" s="24"/>
      <c r="C70" s="24"/>
      <c r="D70" s="24"/>
      <c r="E70" s="46"/>
      <c r="F70" s="46"/>
      <c r="G70" s="46"/>
      <c r="H70" s="21">
        <f t="shared" si="23"/>
        <v>0</v>
      </c>
      <c r="I70" s="47"/>
      <c r="J70" s="47"/>
      <c r="K70" s="47"/>
      <c r="L70" s="47"/>
      <c r="M70" s="47"/>
    </row>
    <row r="71" spans="1:20" s="69" customFormat="1" ht="12.75">
      <c r="A71" s="109"/>
      <c r="B71" s="109"/>
      <c r="C71" s="109"/>
      <c r="D71" s="109"/>
      <c r="E71" s="46"/>
      <c r="F71" s="46"/>
      <c r="G71" s="46"/>
      <c r="H71" s="21">
        <f t="shared" si="23"/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1:20" s="69" customFormat="1" ht="12.75">
      <c r="A72" s="109"/>
      <c r="B72" s="109"/>
      <c r="C72" s="109"/>
      <c r="D72" s="109"/>
      <c r="E72" s="111" t="s">
        <v>73</v>
      </c>
      <c r="F72" s="111"/>
      <c r="G72" s="111"/>
      <c r="H72" s="21">
        <f t="shared" si="23"/>
        <v>263146.0245</v>
      </c>
      <c r="I72" s="46">
        <v>21460</v>
      </c>
      <c r="J72" s="46">
        <v>21460</v>
      </c>
      <c r="K72" s="46">
        <v>21405</v>
      </c>
      <c r="L72" s="46">
        <v>24949</v>
      </c>
      <c r="M72" s="46">
        <v>21061</v>
      </c>
      <c r="N72" s="24">
        <v>19027</v>
      </c>
      <c r="O72" s="24">
        <f>O62*33/100</f>
        <v>19027.0245</v>
      </c>
      <c r="P72" s="24">
        <v>43596</v>
      </c>
      <c r="Q72" s="24">
        <v>19220</v>
      </c>
      <c r="R72" s="24">
        <v>19982</v>
      </c>
      <c r="S72" s="24">
        <v>18437</v>
      </c>
      <c r="T72" s="24">
        <v>13522</v>
      </c>
    </row>
    <row r="73" spans="1:20" s="69" customFormat="1" ht="12.75">
      <c r="A73" s="109"/>
      <c r="B73" s="109"/>
      <c r="C73" s="109"/>
      <c r="D73" s="109"/>
      <c r="E73" s="111" t="s">
        <v>74</v>
      </c>
      <c r="F73" s="111"/>
      <c r="G73" s="111"/>
      <c r="H73" s="21">
        <f t="shared" si="23"/>
        <v>5979.2071</v>
      </c>
      <c r="I73" s="46">
        <v>575</v>
      </c>
      <c r="J73" s="46">
        <v>574</v>
      </c>
      <c r="K73" s="46">
        <v>573</v>
      </c>
      <c r="L73" s="46">
        <v>461</v>
      </c>
      <c r="M73" s="46">
        <v>577</v>
      </c>
      <c r="N73" s="24">
        <v>505</v>
      </c>
      <c r="O73" s="24">
        <f>1.4*O62/100</f>
        <v>807.2071</v>
      </c>
      <c r="P73" s="24">
        <v>513</v>
      </c>
      <c r="Q73" s="24">
        <v>513</v>
      </c>
      <c r="R73" s="24">
        <v>546</v>
      </c>
      <c r="S73" s="24">
        <v>480</v>
      </c>
      <c r="T73" s="24">
        <v>-145</v>
      </c>
    </row>
    <row r="74" spans="6:20" ht="12.75">
      <c r="F74" s="29"/>
      <c r="G74" s="29"/>
      <c r="H74" s="21">
        <f t="shared" si="23"/>
        <v>1048097.4815999999</v>
      </c>
      <c r="I74" s="46">
        <f aca="true" t="shared" si="24" ref="I74:T74">I62+I72+I73</f>
        <v>87065</v>
      </c>
      <c r="J74" s="46">
        <f t="shared" si="24"/>
        <v>87064</v>
      </c>
      <c r="K74" s="46">
        <f t="shared" si="24"/>
        <v>86840.45000000001</v>
      </c>
      <c r="L74" s="46">
        <f t="shared" si="24"/>
        <v>100921.65</v>
      </c>
      <c r="M74" s="46">
        <f t="shared" si="24"/>
        <v>68546.5</v>
      </c>
      <c r="N74" s="24">
        <f t="shared" si="24"/>
        <v>77189.65</v>
      </c>
      <c r="O74" s="24">
        <f t="shared" si="24"/>
        <v>77491.8816</v>
      </c>
      <c r="P74" s="24">
        <f t="shared" si="24"/>
        <v>176214.25</v>
      </c>
      <c r="Q74" s="24">
        <f t="shared" si="24"/>
        <v>77973</v>
      </c>
      <c r="R74" s="24">
        <f t="shared" si="24"/>
        <v>81077.85</v>
      </c>
      <c r="S74" s="24">
        <f t="shared" si="24"/>
        <v>74784.25</v>
      </c>
      <c r="T74" s="24">
        <f t="shared" si="24"/>
        <v>52929</v>
      </c>
    </row>
    <row r="75" spans="5:20" ht="12.75">
      <c r="E75" s="30" t="s">
        <v>75</v>
      </c>
      <c r="H75" s="21" t="s">
        <v>76</v>
      </c>
      <c r="I75" s="48"/>
      <c r="J75" s="48"/>
      <c r="K75" s="48"/>
      <c r="L75" s="48"/>
      <c r="M75" s="48"/>
      <c r="N75" s="31"/>
      <c r="O75" s="31"/>
      <c r="P75" s="31"/>
      <c r="Q75" s="31"/>
      <c r="R75" s="31"/>
      <c r="S75" s="31"/>
      <c r="T75" s="31"/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77</v>
      </c>
      <c r="H77" s="7">
        <f aca="true" t="shared" si="25" ref="H77:H92">SUM(I77:T77)</f>
        <v>0</v>
      </c>
      <c r="I77" s="32"/>
      <c r="J77" s="32"/>
      <c r="K77" s="32"/>
      <c r="L77" s="32"/>
      <c r="M77" s="32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32" t="s">
        <v>78</v>
      </c>
      <c r="H78" s="7">
        <f t="shared" si="25"/>
        <v>0</v>
      </c>
      <c r="I78" s="40">
        <f>I77*I75</f>
        <v>0</v>
      </c>
      <c r="J78" s="40">
        <f>J77*J75</f>
        <v>0</v>
      </c>
      <c r="K78" s="40">
        <f>K77*K75</f>
        <v>0</v>
      </c>
      <c r="L78" s="40">
        <f>L77*L75</f>
        <v>0</v>
      </c>
      <c r="M78" s="40">
        <f aca="true" t="shared" si="26" ref="M78:T78">M77*M75</f>
        <v>0</v>
      </c>
      <c r="N78" s="4">
        <f t="shared" si="26"/>
        <v>0</v>
      </c>
      <c r="O78" s="4">
        <f t="shared" si="26"/>
        <v>0</v>
      </c>
      <c r="P78" s="4">
        <f t="shared" si="26"/>
        <v>0</v>
      </c>
      <c r="Q78" s="4">
        <f t="shared" si="26"/>
        <v>0</v>
      </c>
      <c r="R78" s="4">
        <f t="shared" si="26"/>
        <v>0</v>
      </c>
      <c r="S78" s="4">
        <f t="shared" si="26"/>
        <v>0</v>
      </c>
      <c r="T78" s="4">
        <f t="shared" si="26"/>
        <v>0</v>
      </c>
    </row>
    <row r="79" spans="1:20" ht="18">
      <c r="A79" s="1"/>
      <c r="B79" s="1"/>
      <c r="C79" s="1"/>
      <c r="D79" s="1"/>
      <c r="E79" s="33" t="s">
        <v>79</v>
      </c>
      <c r="F79" s="2"/>
      <c r="G79" s="2"/>
      <c r="H79" s="7">
        <f t="shared" si="25"/>
        <v>0</v>
      </c>
      <c r="I79" s="38"/>
      <c r="J79" s="38"/>
      <c r="K79" s="38"/>
      <c r="L79" s="38"/>
      <c r="M79" s="38"/>
      <c r="N79" s="13"/>
      <c r="O79" s="13"/>
      <c r="P79" s="13"/>
      <c r="Q79" s="13"/>
      <c r="R79" s="13"/>
      <c r="S79" s="13"/>
      <c r="T79" s="13"/>
    </row>
    <row r="80" spans="1:20" ht="12.75">
      <c r="A80" s="1"/>
      <c r="B80" s="1"/>
      <c r="C80" s="1"/>
      <c r="D80" s="1"/>
      <c r="E80" s="32" t="s">
        <v>80</v>
      </c>
      <c r="H80" s="7">
        <f t="shared" si="25"/>
        <v>0</v>
      </c>
      <c r="I80" s="38"/>
      <c r="J80" s="38"/>
      <c r="K80" s="38"/>
      <c r="L80" s="38"/>
      <c r="M80" s="38"/>
      <c r="N80" s="13"/>
      <c r="O80" s="13"/>
      <c r="P80" s="13"/>
      <c r="Q80" s="13"/>
      <c r="R80" s="13"/>
      <c r="S80" s="13"/>
      <c r="T80" s="13"/>
    </row>
    <row r="81" spans="1:20" ht="12.75">
      <c r="A81" s="1"/>
      <c r="B81" s="1"/>
      <c r="C81" s="1"/>
      <c r="D81" s="1"/>
      <c r="E81" s="32" t="s">
        <v>81</v>
      </c>
      <c r="F81" s="22"/>
      <c r="G81" s="22"/>
      <c r="H81" s="7">
        <f t="shared" si="25"/>
        <v>0</v>
      </c>
      <c r="I81" s="40">
        <f>I79*I80</f>
        <v>0</v>
      </c>
      <c r="J81" s="40">
        <f>J79*J80</f>
        <v>0</v>
      </c>
      <c r="K81" s="40">
        <f>K79*K80</f>
        <v>0</v>
      </c>
      <c r="L81" s="40">
        <f>L79*L80</f>
        <v>0</v>
      </c>
      <c r="M81" s="40">
        <f aca="true" t="shared" si="27" ref="M81:T81">M79*M80</f>
        <v>0</v>
      </c>
      <c r="N81" s="4">
        <f t="shared" si="27"/>
        <v>0</v>
      </c>
      <c r="O81" s="4">
        <f t="shared" si="27"/>
        <v>0</v>
      </c>
      <c r="P81" s="4">
        <f t="shared" si="27"/>
        <v>0</v>
      </c>
      <c r="Q81" s="4">
        <f t="shared" si="27"/>
        <v>0</v>
      </c>
      <c r="R81" s="4">
        <f t="shared" si="27"/>
        <v>0</v>
      </c>
      <c r="S81" s="4">
        <f t="shared" si="27"/>
        <v>0</v>
      </c>
      <c r="T81" s="4">
        <f t="shared" si="27"/>
        <v>0</v>
      </c>
    </row>
    <row r="82" spans="1:20" ht="12.75">
      <c r="A82" s="1"/>
      <c r="B82" s="1"/>
      <c r="C82" s="1"/>
      <c r="D82" s="1"/>
      <c r="E82" s="33" t="s">
        <v>82</v>
      </c>
      <c r="F82" s="22"/>
      <c r="G82" s="22"/>
      <c r="H82" s="7">
        <f t="shared" si="25"/>
        <v>0</v>
      </c>
      <c r="I82" s="38"/>
      <c r="J82" s="38"/>
      <c r="K82" s="38"/>
      <c r="L82" s="38"/>
      <c r="M82" s="38"/>
      <c r="N82" s="13"/>
      <c r="O82" s="13"/>
      <c r="P82" s="13"/>
      <c r="Q82" s="13"/>
      <c r="R82" s="13"/>
      <c r="S82" s="13"/>
      <c r="T82" s="13"/>
    </row>
    <row r="83" spans="1:20" ht="12.75">
      <c r="A83" s="1"/>
      <c r="B83" s="1"/>
      <c r="C83" s="1"/>
      <c r="D83" s="1"/>
      <c r="E83" s="32" t="s">
        <v>80</v>
      </c>
      <c r="F83" s="26"/>
      <c r="G83" s="26"/>
      <c r="H83" s="7">
        <f t="shared" si="25"/>
        <v>0</v>
      </c>
      <c r="I83" s="32"/>
      <c r="J83" s="32"/>
      <c r="K83" s="32"/>
      <c r="L83" s="32"/>
      <c r="M83" s="32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32" t="s">
        <v>81</v>
      </c>
      <c r="F84" s="26"/>
      <c r="G84" s="26"/>
      <c r="H84" s="7">
        <f t="shared" si="25"/>
        <v>0</v>
      </c>
      <c r="I84" s="40">
        <f>I82*I83</f>
        <v>0</v>
      </c>
      <c r="J84" s="40">
        <f>J82*J83</f>
        <v>0</v>
      </c>
      <c r="K84" s="40">
        <f>K82*K83</f>
        <v>0</v>
      </c>
      <c r="L84" s="40">
        <f>L82*L83</f>
        <v>0</v>
      </c>
      <c r="M84" s="40">
        <f aca="true" t="shared" si="28" ref="M84:T84">M82*M83</f>
        <v>0</v>
      </c>
      <c r="N84" s="4">
        <f t="shared" si="28"/>
        <v>0</v>
      </c>
      <c r="O84" s="4">
        <f t="shared" si="28"/>
        <v>0</v>
      </c>
      <c r="P84" s="4">
        <f t="shared" si="28"/>
        <v>0</v>
      </c>
      <c r="Q84" s="4">
        <f t="shared" si="28"/>
        <v>0</v>
      </c>
      <c r="R84" s="4">
        <f t="shared" si="28"/>
        <v>0</v>
      </c>
      <c r="S84" s="4">
        <f t="shared" si="28"/>
        <v>0</v>
      </c>
      <c r="T84" s="4">
        <f t="shared" si="28"/>
        <v>0</v>
      </c>
    </row>
    <row r="85" spans="6:9" ht="12.75">
      <c r="F85" s="26"/>
      <c r="G85" s="26" t="s">
        <v>83</v>
      </c>
      <c r="H85" s="7">
        <f t="shared" si="25"/>
        <v>0</v>
      </c>
      <c r="I85" s="44"/>
    </row>
    <row r="86" spans="1:20" ht="18">
      <c r="A86" s="1"/>
      <c r="B86" s="1"/>
      <c r="C86" s="1"/>
      <c r="D86" s="1"/>
      <c r="E86" s="2"/>
      <c r="H86" s="3">
        <f t="shared" si="25"/>
        <v>0</v>
      </c>
      <c r="I86" s="40" t="s">
        <v>89</v>
      </c>
      <c r="J86" s="40" t="s">
        <v>90</v>
      </c>
      <c r="K86" s="40" t="s">
        <v>91</v>
      </c>
      <c r="L86" s="45" t="s">
        <v>92</v>
      </c>
      <c r="M86" s="40" t="s">
        <v>93</v>
      </c>
      <c r="N86" s="4" t="s">
        <v>94</v>
      </c>
      <c r="O86" s="4" t="s">
        <v>95</v>
      </c>
      <c r="P86" s="5" t="s">
        <v>96</v>
      </c>
      <c r="Q86" s="4" t="s">
        <v>97</v>
      </c>
      <c r="R86" s="4" t="s">
        <v>98</v>
      </c>
      <c r="S86" s="4" t="s">
        <v>99</v>
      </c>
      <c r="T86" s="5" t="s">
        <v>100</v>
      </c>
    </row>
    <row r="87" spans="5:20" ht="12.75">
      <c r="E87" s="18" t="s">
        <v>84</v>
      </c>
      <c r="H87" s="21">
        <f t="shared" si="25"/>
        <v>171040.88</v>
      </c>
      <c r="I87" s="44">
        <f>SUM(I88:I93)</f>
        <v>11733.77</v>
      </c>
      <c r="J87" s="44">
        <f>SUM(J88:J93)</f>
        <v>8759.91</v>
      </c>
      <c r="K87" s="44">
        <f>SUM(K88:K93)</f>
        <v>9099.26</v>
      </c>
      <c r="L87" s="44">
        <f>SUM(L88:L93)</f>
        <v>10437.46</v>
      </c>
      <c r="M87" s="44">
        <f aca="true" t="shared" si="29" ref="M87:T87">SUM(M88:M93)</f>
        <v>21106.72</v>
      </c>
      <c r="N87">
        <f t="shared" si="29"/>
        <v>8075</v>
      </c>
      <c r="O87">
        <f t="shared" si="29"/>
        <v>7376.17</v>
      </c>
      <c r="P87">
        <f t="shared" si="29"/>
        <v>18056.600000000002</v>
      </c>
      <c r="Q87">
        <f t="shared" si="29"/>
        <v>22989.61</v>
      </c>
      <c r="R87">
        <f t="shared" si="29"/>
        <v>20518.18</v>
      </c>
      <c r="S87">
        <f t="shared" si="29"/>
        <v>15246.85</v>
      </c>
      <c r="T87">
        <f t="shared" si="29"/>
        <v>17641.35</v>
      </c>
    </row>
    <row r="88" spans="1:20" s="25" customFormat="1" ht="12.75">
      <c r="A88" s="22"/>
      <c r="B88" s="22"/>
      <c r="C88" s="22"/>
      <c r="D88" s="22"/>
      <c r="E88" s="22" t="s">
        <v>85</v>
      </c>
      <c r="F88" s="18"/>
      <c r="G88" s="18"/>
      <c r="H88" s="23">
        <f t="shared" si="25"/>
        <v>38130.530000000006</v>
      </c>
      <c r="I88" s="49">
        <v>2777.7</v>
      </c>
      <c r="J88" s="49">
        <v>2782.47</v>
      </c>
      <c r="K88" s="49">
        <v>2787.27</v>
      </c>
      <c r="L88" s="49">
        <v>2792.22</v>
      </c>
      <c r="M88" s="49"/>
      <c r="P88" s="25">
        <v>4441.79</v>
      </c>
      <c r="Q88" s="25">
        <f>4459.51+1182.58</f>
        <v>5642.09</v>
      </c>
      <c r="R88" s="25">
        <v>5638.88</v>
      </c>
      <c r="S88" s="25">
        <v>5635.67</v>
      </c>
      <c r="T88" s="25">
        <v>5632.44</v>
      </c>
    </row>
    <row r="89" spans="1:20" s="25" customFormat="1" ht="12.75">
      <c r="A89" s="22"/>
      <c r="B89" s="22"/>
      <c r="C89" s="22"/>
      <c r="D89" s="22"/>
      <c r="E89" s="22" t="s">
        <v>86</v>
      </c>
      <c r="F89" s="18"/>
      <c r="G89" s="18"/>
      <c r="H89" s="23">
        <f t="shared" si="25"/>
        <v>16355.34</v>
      </c>
      <c r="I89" s="49">
        <v>3160</v>
      </c>
      <c r="J89" s="49">
        <v>529</v>
      </c>
      <c r="K89" s="49">
        <v>529</v>
      </c>
      <c r="L89" s="49">
        <v>2136</v>
      </c>
      <c r="M89" s="49">
        <v>4529</v>
      </c>
      <c r="P89" s="25">
        <v>846.67</v>
      </c>
      <c r="Q89" s="25">
        <v>846.67</v>
      </c>
      <c r="R89" s="25">
        <v>2086.67</v>
      </c>
      <c r="S89" s="25">
        <v>846.67</v>
      </c>
      <c r="T89" s="25">
        <v>845.66</v>
      </c>
    </row>
    <row r="90" spans="1:20" s="25" customFormat="1" ht="12.75">
      <c r="A90" s="22"/>
      <c r="B90" s="22"/>
      <c r="C90" s="22"/>
      <c r="D90" s="22"/>
      <c r="E90" s="26" t="s">
        <v>107</v>
      </c>
      <c r="F90" s="18"/>
      <c r="G90" s="18"/>
      <c r="H90" s="23">
        <f t="shared" si="25"/>
        <v>12954</v>
      </c>
      <c r="I90" s="49"/>
      <c r="J90" s="49"/>
      <c r="K90" s="49"/>
      <c r="L90" s="49"/>
      <c r="M90" s="49"/>
      <c r="N90" s="25">
        <v>1831</v>
      </c>
      <c r="O90" s="25">
        <v>1837.98</v>
      </c>
      <c r="P90" s="25">
        <v>1845.26</v>
      </c>
      <c r="Q90" s="25">
        <v>1852.57</v>
      </c>
      <c r="R90" s="25">
        <v>1845.26</v>
      </c>
      <c r="S90" s="25">
        <v>1867.27</v>
      </c>
      <c r="T90" s="25">
        <v>1874.66</v>
      </c>
    </row>
    <row r="91" spans="1:20" s="25" customFormat="1" ht="12.75">
      <c r="A91" s="22"/>
      <c r="B91" s="22"/>
      <c r="C91" s="22"/>
      <c r="D91" s="22"/>
      <c r="E91" s="26" t="s">
        <v>87</v>
      </c>
      <c r="F91" s="18"/>
      <c r="G91" s="18"/>
      <c r="H91" s="23">
        <f t="shared" si="25"/>
        <v>70965.73000000001</v>
      </c>
      <c r="I91" s="49">
        <v>5461.07</v>
      </c>
      <c r="J91" s="49">
        <v>5330.93</v>
      </c>
      <c r="K91" s="49">
        <v>5266.73</v>
      </c>
      <c r="L91" s="49">
        <v>4499.54</v>
      </c>
      <c r="M91" s="49">
        <v>5944.38</v>
      </c>
      <c r="N91" s="25">
        <v>6202</v>
      </c>
      <c r="O91" s="25">
        <v>5538.19</v>
      </c>
      <c r="P91" s="25">
        <v>7152.93</v>
      </c>
      <c r="Q91" s="25">
        <v>5634.11</v>
      </c>
      <c r="R91" s="25">
        <v>4799.03</v>
      </c>
      <c r="S91" s="25">
        <v>6369.9</v>
      </c>
      <c r="T91" s="25">
        <v>8766.92</v>
      </c>
    </row>
    <row r="92" spans="1:20" s="25" customFormat="1" ht="12.75">
      <c r="A92" s="22"/>
      <c r="B92" s="22"/>
      <c r="C92" s="22"/>
      <c r="D92" s="22"/>
      <c r="E92" s="26" t="s">
        <v>88</v>
      </c>
      <c r="F92" s="18"/>
      <c r="G92" s="18"/>
      <c r="H92" s="23">
        <f t="shared" si="25"/>
        <v>32635.28</v>
      </c>
      <c r="I92" s="49">
        <f>100+23.33+211.67</f>
        <v>335</v>
      </c>
      <c r="J92" s="49">
        <f>90.84+26.67</f>
        <v>117.51</v>
      </c>
      <c r="K92" s="49">
        <f>120.4+395.86</f>
        <v>516.26</v>
      </c>
      <c r="L92" s="49">
        <f>137.2+872.5</f>
        <v>1009.7</v>
      </c>
      <c r="M92" s="49">
        <f>44.2+8460+2129.14</f>
        <v>10633.34</v>
      </c>
      <c r="N92" s="25">
        <v>42</v>
      </c>
      <c r="O92" s="25">
        <v>0</v>
      </c>
      <c r="P92" s="25">
        <v>3769.95</v>
      </c>
      <c r="Q92" s="25">
        <v>9014.17</v>
      </c>
      <c r="R92" s="25">
        <f>795+5227.5+125.84</f>
        <v>6148.34</v>
      </c>
      <c r="S92" s="25">
        <v>527.34</v>
      </c>
      <c r="T92" s="25">
        <v>521.67</v>
      </c>
    </row>
    <row r="93" ht="12.75">
      <c r="I93" s="44"/>
    </row>
    <row r="94" ht="12.75">
      <c r="I94" s="44"/>
    </row>
    <row r="95" ht="12.75">
      <c r="I95" s="44"/>
    </row>
    <row r="96" ht="12.75">
      <c r="I96" s="44"/>
    </row>
    <row r="97" ht="12.75">
      <c r="I97" s="44"/>
    </row>
    <row r="98" ht="12.75">
      <c r="I98" s="44"/>
    </row>
    <row r="99" ht="12.75">
      <c r="I99" s="44"/>
    </row>
    <row r="100" ht="12.75">
      <c r="I100" s="44"/>
    </row>
    <row r="101" ht="12.75"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17" top="0.56" bottom="0.24" header="0.17" footer="0.17"/>
  <pageSetup fitToHeight="2" horizontalDpi="600" verticalDpi="600" orientation="landscape" paperSize="9" scale="59" r:id="rId3"/>
  <headerFooter alignWithMargins="0">
    <oddHeader>&amp;C&amp;F&amp;R&amp;A</oddHeader>
    <oddFooter>&amp;C&amp;F &amp;D &amp;RAdministratsiooni  kulud  tegevusala  &amp;A</oddFooter>
  </headerFooter>
  <rowBreaks count="1" manualBreakCount="1">
    <brk id="60" max="1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pane xSplit="8" ySplit="2" topLeftCell="M81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R62" sqref="R62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247</v>
      </c>
      <c r="P2" s="5" t="s">
        <v>248</v>
      </c>
      <c r="Q2" s="5" t="s">
        <v>97</v>
      </c>
      <c r="R2" s="5" t="s">
        <v>98</v>
      </c>
      <c r="S2" s="5" t="s">
        <v>99</v>
      </c>
      <c r="T2" s="5" t="s">
        <v>271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13496.1</v>
      </c>
      <c r="G3" s="4">
        <f>G4+G8+G12</f>
        <v>3872.45</v>
      </c>
      <c r="H3" s="7">
        <f>SUM(I3:T3)</f>
        <v>4479.15</v>
      </c>
      <c r="I3" s="40">
        <f>I4+I8+I12</f>
        <v>491.25</v>
      </c>
      <c r="J3" s="40">
        <f>J4+J8+J12</f>
        <v>404.55</v>
      </c>
      <c r="K3" s="40">
        <f>K4+K8+K12</f>
        <v>462.35</v>
      </c>
      <c r="L3" s="40">
        <f>L4+L8+L12</f>
        <v>404.55</v>
      </c>
      <c r="M3" s="40">
        <f aca="true" t="shared" si="0" ref="M3:T3">M4+M8+M12</f>
        <v>346.8</v>
      </c>
      <c r="N3" s="4">
        <f t="shared" si="0"/>
        <v>202.3</v>
      </c>
      <c r="O3" s="4">
        <f t="shared" si="0"/>
        <v>231.2</v>
      </c>
      <c r="P3" s="4">
        <f t="shared" si="0"/>
        <v>317.90000000000003</v>
      </c>
      <c r="Q3" s="4">
        <f t="shared" si="0"/>
        <v>520.15</v>
      </c>
      <c r="R3" s="4">
        <f t="shared" si="0"/>
        <v>375.65</v>
      </c>
      <c r="S3" s="4">
        <f t="shared" si="0"/>
        <v>404.55</v>
      </c>
      <c r="T3" s="4">
        <f t="shared" si="0"/>
        <v>317.9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13496.1</v>
      </c>
      <c r="G4" s="4">
        <f>G5</f>
        <v>3872.45</v>
      </c>
      <c r="H4" s="7">
        <f aca="true" t="shared" si="1" ref="H4:H60">SUM(I4:T4)</f>
        <v>4479.15</v>
      </c>
      <c r="I4" s="40">
        <f>I5</f>
        <v>491.25</v>
      </c>
      <c r="J4" s="40">
        <f>J5</f>
        <v>404.55</v>
      </c>
      <c r="K4" s="40">
        <f>K5</f>
        <v>462.35</v>
      </c>
      <c r="L4" s="40">
        <f>L5</f>
        <v>404.55</v>
      </c>
      <c r="M4" s="40">
        <f aca="true" t="shared" si="2" ref="M4:T4">M5</f>
        <v>346.8</v>
      </c>
      <c r="N4" s="4">
        <f t="shared" si="2"/>
        <v>202.3</v>
      </c>
      <c r="O4" s="4">
        <f t="shared" si="2"/>
        <v>231.2</v>
      </c>
      <c r="P4" s="4">
        <f t="shared" si="2"/>
        <v>317.90000000000003</v>
      </c>
      <c r="Q4" s="4">
        <f t="shared" si="2"/>
        <v>520.15</v>
      </c>
      <c r="R4" s="4">
        <f t="shared" si="2"/>
        <v>375.65</v>
      </c>
      <c r="S4" s="4">
        <f t="shared" si="2"/>
        <v>404.55</v>
      </c>
      <c r="T4" s="4">
        <f t="shared" si="2"/>
        <v>317.9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13496.1</v>
      </c>
      <c r="G5" s="4">
        <f>G7</f>
        <v>3872.45</v>
      </c>
      <c r="H5" s="7">
        <f t="shared" si="1"/>
        <v>4479.15</v>
      </c>
      <c r="I5" s="40">
        <f>I7</f>
        <v>491.25</v>
      </c>
      <c r="J5" s="40">
        <f>J7</f>
        <v>404.55</v>
      </c>
      <c r="K5" s="40">
        <f>K7</f>
        <v>462.35</v>
      </c>
      <c r="L5" s="40">
        <f>L7</f>
        <v>404.55</v>
      </c>
      <c r="M5" s="40">
        <f aca="true" t="shared" si="3" ref="M5:T5">M7</f>
        <v>346.8</v>
      </c>
      <c r="N5" s="4">
        <f t="shared" si="3"/>
        <v>202.3</v>
      </c>
      <c r="O5" s="4">
        <f t="shared" si="3"/>
        <v>231.2</v>
      </c>
      <c r="P5" s="4">
        <f t="shared" si="3"/>
        <v>317.90000000000003</v>
      </c>
      <c r="Q5" s="4">
        <f t="shared" si="3"/>
        <v>520.15</v>
      </c>
      <c r="R5" s="4">
        <f t="shared" si="3"/>
        <v>375.65</v>
      </c>
      <c r="S5" s="4">
        <f t="shared" si="3"/>
        <v>404.55</v>
      </c>
      <c r="T5" s="4">
        <f t="shared" si="3"/>
        <v>317.9</v>
      </c>
    </row>
    <row r="6" spans="1:20" s="11" customFormat="1" ht="11.25">
      <c r="A6" s="8"/>
      <c r="B6" s="8"/>
      <c r="C6" s="8"/>
      <c r="D6" s="8"/>
      <c r="E6" s="8" t="s">
        <v>9</v>
      </c>
      <c r="F6" s="9">
        <v>1059.9</v>
      </c>
      <c r="G6" s="9">
        <v>308.2</v>
      </c>
      <c r="H6" s="10">
        <f t="shared" si="1"/>
        <v>155</v>
      </c>
      <c r="I6" s="41">
        <f aca="true" t="shared" si="4" ref="I6:T7">I77</f>
        <v>17</v>
      </c>
      <c r="J6" s="41">
        <v>14</v>
      </c>
      <c r="K6" s="41">
        <f t="shared" si="4"/>
        <v>16</v>
      </c>
      <c r="L6" s="41">
        <f t="shared" si="4"/>
        <v>14</v>
      </c>
      <c r="M6" s="41">
        <f t="shared" si="4"/>
        <v>12</v>
      </c>
      <c r="N6" s="9">
        <f t="shared" si="4"/>
        <v>7</v>
      </c>
      <c r="O6" s="9">
        <f t="shared" si="4"/>
        <v>8</v>
      </c>
      <c r="P6" s="9">
        <f t="shared" si="4"/>
        <v>11</v>
      </c>
      <c r="Q6" s="9">
        <v>18</v>
      </c>
      <c r="R6" s="9">
        <f t="shared" si="4"/>
        <v>13</v>
      </c>
      <c r="S6" s="9">
        <f t="shared" si="4"/>
        <v>14</v>
      </c>
      <c r="T6" s="9">
        <f t="shared" si="4"/>
        <v>11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13496.1</v>
      </c>
      <c r="G7" s="13">
        <v>3872.45</v>
      </c>
      <c r="H7" s="10">
        <f t="shared" si="1"/>
        <v>4479.15</v>
      </c>
      <c r="I7" s="38">
        <v>491.25</v>
      </c>
      <c r="J7" s="38">
        <f t="shared" si="4"/>
        <v>404.55</v>
      </c>
      <c r="K7" s="38">
        <f t="shared" si="4"/>
        <v>462.35</v>
      </c>
      <c r="L7" s="38">
        <f t="shared" si="4"/>
        <v>404.55</v>
      </c>
      <c r="M7" s="38">
        <f t="shared" si="4"/>
        <v>346.8</v>
      </c>
      <c r="N7" s="13">
        <v>202.3</v>
      </c>
      <c r="O7" s="13">
        <v>231.2</v>
      </c>
      <c r="P7" s="13">
        <f t="shared" si="4"/>
        <v>317.90000000000003</v>
      </c>
      <c r="Q7" s="13">
        <v>520.15</v>
      </c>
      <c r="R7" s="13">
        <f t="shared" si="4"/>
        <v>375.65</v>
      </c>
      <c r="S7" s="13">
        <f t="shared" si="4"/>
        <v>404.55</v>
      </c>
      <c r="T7" s="13">
        <f t="shared" si="4"/>
        <v>317.9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0</v>
      </c>
      <c r="G8" s="4">
        <f>G9+G11</f>
        <v>0</v>
      </c>
      <c r="H8" s="7">
        <f t="shared" si="1"/>
        <v>0</v>
      </c>
      <c r="I8" s="40">
        <f>I9+I11</f>
        <v>0</v>
      </c>
      <c r="J8" s="40">
        <f>J9+J11</f>
        <v>0</v>
      </c>
      <c r="K8" s="40">
        <f>K9+K11</f>
        <v>0</v>
      </c>
      <c r="L8" s="40">
        <f>L9+L11</f>
        <v>0</v>
      </c>
      <c r="M8" s="40">
        <f aca="true" t="shared" si="5" ref="M8:T8">M9+M11</f>
        <v>0</v>
      </c>
      <c r="N8" s="4">
        <f t="shared" si="5"/>
        <v>0</v>
      </c>
      <c r="O8" s="4">
        <f t="shared" si="5"/>
        <v>0</v>
      </c>
      <c r="P8" s="4">
        <f t="shared" si="5"/>
        <v>0</v>
      </c>
      <c r="Q8" s="4">
        <f t="shared" si="5"/>
        <v>0</v>
      </c>
      <c r="R8" s="4">
        <f t="shared" si="5"/>
        <v>0</v>
      </c>
      <c r="S8" s="4">
        <f t="shared" si="5"/>
        <v>0</v>
      </c>
      <c r="T8" s="4">
        <f t="shared" si="5"/>
        <v>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0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0</v>
      </c>
      <c r="I11" s="40"/>
      <c r="J11" s="40"/>
      <c r="K11" s="40"/>
      <c r="L11" s="40"/>
      <c r="M11" s="40"/>
      <c r="N11" s="4"/>
      <c r="O11" s="4"/>
      <c r="P11" s="4"/>
      <c r="Q11" s="4"/>
      <c r="R11" s="4"/>
      <c r="S11" s="4"/>
      <c r="T11" s="4"/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0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0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8" ref="I15:T16">I16</f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-22013.02</v>
      </c>
      <c r="G18" s="4">
        <f>G19+G27</f>
        <v>-3174.46</v>
      </c>
      <c r="H18" s="7">
        <f t="shared" si="1"/>
        <v>-4327.139999999999</v>
      </c>
      <c r="I18" s="40">
        <f>I19+I27</f>
        <v>-402.75</v>
      </c>
      <c r="J18" s="40">
        <f>J19+J27</f>
        <v>-331.68</v>
      </c>
      <c r="K18" s="40">
        <f>K19+K27</f>
        <v>-379.06</v>
      </c>
      <c r="L18" s="40">
        <f>L19+L27</f>
        <v>-331.68</v>
      </c>
      <c r="M18" s="40">
        <f aca="true" t="shared" si="9" ref="M18:T18">M19+M27</f>
        <v>-284.29</v>
      </c>
      <c r="N18" s="4">
        <f t="shared" si="9"/>
        <v>-165.84</v>
      </c>
      <c r="O18" s="4">
        <f t="shared" si="9"/>
        <v>-189.53</v>
      </c>
      <c r="P18" s="4">
        <f t="shared" si="9"/>
        <v>-260.6</v>
      </c>
      <c r="Q18" s="4">
        <f t="shared" si="9"/>
        <v>-426.44</v>
      </c>
      <c r="R18" s="4">
        <f t="shared" si="9"/>
        <v>-962.99</v>
      </c>
      <c r="S18" s="4">
        <f t="shared" si="9"/>
        <v>-331.68</v>
      </c>
      <c r="T18" s="4">
        <f t="shared" si="9"/>
        <v>-260.6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0</v>
      </c>
      <c r="G19" s="4">
        <f>G20+G26+G23</f>
        <v>0</v>
      </c>
      <c r="H19" s="7">
        <f t="shared" si="1"/>
        <v>0</v>
      </c>
      <c r="I19" s="40">
        <f>I20+I26+I23</f>
        <v>0</v>
      </c>
      <c r="J19" s="40">
        <f>J20+J26+J23</f>
        <v>0</v>
      </c>
      <c r="K19" s="40">
        <f>K20+K26+K23</f>
        <v>0</v>
      </c>
      <c r="L19" s="40">
        <f>L20+L26+L23</f>
        <v>0</v>
      </c>
      <c r="M19" s="40">
        <f aca="true" t="shared" si="10" ref="M19:T19">M20+M26+M23</f>
        <v>0</v>
      </c>
      <c r="N19" s="4">
        <f t="shared" si="10"/>
        <v>0</v>
      </c>
      <c r="O19" s="4">
        <f t="shared" si="10"/>
        <v>0</v>
      </c>
      <c r="P19" s="4">
        <f t="shared" si="10"/>
        <v>0</v>
      </c>
      <c r="Q19" s="4">
        <f t="shared" si="10"/>
        <v>0</v>
      </c>
      <c r="R19" s="4">
        <f t="shared" si="10"/>
        <v>0</v>
      </c>
      <c r="S19" s="4">
        <f t="shared" si="10"/>
        <v>0</v>
      </c>
      <c r="T19" s="4">
        <f t="shared" si="10"/>
        <v>0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0</v>
      </c>
      <c r="G20" s="4">
        <f>SUM(G21:G22)</f>
        <v>0</v>
      </c>
      <c r="H20" s="7">
        <f t="shared" si="1"/>
        <v>0</v>
      </c>
      <c r="I20" s="40">
        <f>SUM(I21:I22)</f>
        <v>0</v>
      </c>
      <c r="J20" s="40">
        <f>SUM(J21:J22)</f>
        <v>0</v>
      </c>
      <c r="K20" s="40">
        <f>SUM(K21:K22)</f>
        <v>0</v>
      </c>
      <c r="L20" s="40">
        <f>SUM(L21:L22)</f>
        <v>0</v>
      </c>
      <c r="M20" s="40">
        <f aca="true" t="shared" si="11" ref="M20:T20">SUM(M21:M22)</f>
        <v>0</v>
      </c>
      <c r="N20" s="4">
        <f t="shared" si="11"/>
        <v>0</v>
      </c>
      <c r="O20" s="4">
        <f t="shared" si="11"/>
        <v>0</v>
      </c>
      <c r="P20" s="4">
        <f t="shared" si="11"/>
        <v>0</v>
      </c>
      <c r="Q20" s="4">
        <f t="shared" si="11"/>
        <v>0</v>
      </c>
      <c r="R20" s="4">
        <f t="shared" si="11"/>
        <v>0</v>
      </c>
      <c r="S20" s="4">
        <f t="shared" si="11"/>
        <v>0</v>
      </c>
      <c r="T20" s="4">
        <f t="shared" si="11"/>
        <v>0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/>
      <c r="G21" s="13"/>
      <c r="H21" s="10">
        <f t="shared" si="1"/>
        <v>0</v>
      </c>
      <c r="I21" s="38"/>
      <c r="J21" s="38"/>
      <c r="K21" s="38"/>
      <c r="L21" s="38"/>
      <c r="M21" s="38"/>
      <c r="N21" s="13"/>
      <c r="O21" s="13"/>
      <c r="P21" s="13"/>
      <c r="Q21" s="13"/>
      <c r="R21" s="13"/>
      <c r="S21" s="13"/>
      <c r="T21" s="13"/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/>
      <c r="G26" s="4"/>
      <c r="H26" s="7">
        <f t="shared" si="1"/>
        <v>0</v>
      </c>
      <c r="I26" s="40"/>
      <c r="J26" s="40"/>
      <c r="K26" s="40"/>
      <c r="L26" s="40"/>
      <c r="M26" s="40"/>
      <c r="N26" s="4"/>
      <c r="O26" s="4"/>
      <c r="P26" s="4"/>
      <c r="Q26" s="4"/>
      <c r="R26" s="4"/>
      <c r="S26" s="4"/>
      <c r="T26" s="4"/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-22013.02</v>
      </c>
      <c r="G27" s="4">
        <f>SUM(G28:G41)</f>
        <v>-3174.46</v>
      </c>
      <c r="H27" s="7">
        <f t="shared" si="1"/>
        <v>-4327.139999999999</v>
      </c>
      <c r="I27" s="40">
        <f>SUM(I28:I41)</f>
        <v>-402.75</v>
      </c>
      <c r="J27" s="40">
        <f aca="true" t="shared" si="13" ref="J27:T27">SUM(J28:J41)</f>
        <v>-331.68</v>
      </c>
      <c r="K27" s="40">
        <f t="shared" si="13"/>
        <v>-379.06</v>
      </c>
      <c r="L27" s="40">
        <f t="shared" si="13"/>
        <v>-331.68</v>
      </c>
      <c r="M27" s="40">
        <f t="shared" si="13"/>
        <v>-284.29</v>
      </c>
      <c r="N27" s="4">
        <f t="shared" si="13"/>
        <v>-165.84</v>
      </c>
      <c r="O27" s="4">
        <f t="shared" si="13"/>
        <v>-189.53</v>
      </c>
      <c r="P27" s="4">
        <f t="shared" si="13"/>
        <v>-260.6</v>
      </c>
      <c r="Q27" s="4">
        <f t="shared" si="13"/>
        <v>-426.44</v>
      </c>
      <c r="R27" s="4">
        <f t="shared" si="13"/>
        <v>-962.99</v>
      </c>
      <c r="S27" s="4">
        <f t="shared" si="13"/>
        <v>-331.68</v>
      </c>
      <c r="T27" s="4">
        <f t="shared" si="13"/>
        <v>-260.6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/>
      <c r="G28" s="13"/>
      <c r="H28" s="10">
        <f t="shared" si="1"/>
        <v>0</v>
      </c>
      <c r="I28" s="38"/>
      <c r="J28" s="38"/>
      <c r="K28" s="38"/>
      <c r="L28" s="38"/>
      <c r="M28" s="38"/>
      <c r="N28" s="13"/>
      <c r="O28" s="13"/>
      <c r="P28" s="13"/>
      <c r="Q28" s="13"/>
      <c r="R28" s="13"/>
      <c r="S28" s="13"/>
      <c r="T28" s="13"/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/>
      <c r="G30" s="13"/>
      <c r="H30" s="10">
        <f t="shared" si="1"/>
        <v>0</v>
      </c>
      <c r="I30" s="38"/>
      <c r="J30" s="38"/>
      <c r="K30" s="38"/>
      <c r="L30" s="38"/>
      <c r="M30" s="38"/>
      <c r="N30" s="13"/>
      <c r="O30" s="13"/>
      <c r="P30" s="13"/>
      <c r="Q30" s="13"/>
      <c r="R30" s="13"/>
      <c r="S30" s="13"/>
      <c r="T30" s="13"/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/>
      <c r="G31" s="13"/>
      <c r="H31" s="10">
        <f t="shared" si="1"/>
        <v>-655</v>
      </c>
      <c r="I31" s="38"/>
      <c r="J31" s="38"/>
      <c r="K31" s="38"/>
      <c r="L31" s="38"/>
      <c r="M31" s="38"/>
      <c r="N31" s="13"/>
      <c r="O31" s="13"/>
      <c r="P31" s="13"/>
      <c r="Q31" s="13"/>
      <c r="R31" s="13">
        <v>-655</v>
      </c>
      <c r="S31" s="13"/>
      <c r="T31" s="13"/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/>
      <c r="G32" s="13"/>
      <c r="H32" s="10">
        <f t="shared" si="1"/>
        <v>0</v>
      </c>
      <c r="I32" s="38"/>
      <c r="J32" s="38"/>
      <c r="K32" s="38"/>
      <c r="L32" s="38"/>
      <c r="M32" s="38"/>
      <c r="N32" s="13"/>
      <c r="O32" s="13"/>
      <c r="P32" s="13"/>
      <c r="Q32" s="13"/>
      <c r="R32" s="13"/>
      <c r="S32" s="13"/>
      <c r="T32" s="13"/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/>
      <c r="G34" s="13"/>
      <c r="H34" s="10">
        <f t="shared" si="1"/>
        <v>0</v>
      </c>
      <c r="I34" s="38"/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>
        <v>-3000</v>
      </c>
      <c r="G35" s="13"/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-19013.02</v>
      </c>
      <c r="G38" s="13">
        <v>-3174.46</v>
      </c>
      <c r="H38" s="10">
        <f t="shared" si="1"/>
        <v>-3672.1399999999994</v>
      </c>
      <c r="I38" s="38">
        <v>-402.75</v>
      </c>
      <c r="J38" s="38">
        <f>(J81+J84)*-1</f>
        <v>-331.68</v>
      </c>
      <c r="K38" s="38">
        <f>(K81+K84)*-1</f>
        <v>-379.06</v>
      </c>
      <c r="L38" s="38">
        <f>(L81+L84)*-1</f>
        <v>-331.68</v>
      </c>
      <c r="M38" s="38">
        <f aca="true" t="shared" si="14" ref="M38:T38">(M81+M84)*-1</f>
        <v>-284.29</v>
      </c>
      <c r="N38" s="13">
        <v>-165.84</v>
      </c>
      <c r="O38" s="13">
        <v>-189.53</v>
      </c>
      <c r="P38" s="13">
        <v>-260.6</v>
      </c>
      <c r="Q38" s="13">
        <v>-426.44</v>
      </c>
      <c r="R38" s="13">
        <f t="shared" si="14"/>
        <v>-307.99</v>
      </c>
      <c r="S38" s="13">
        <f t="shared" si="14"/>
        <v>-331.68</v>
      </c>
      <c r="T38" s="13">
        <f t="shared" si="14"/>
        <v>-260.6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/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0</v>
      </c>
      <c r="G40" s="13">
        <v>0</v>
      </c>
      <c r="H40" s="10">
        <f t="shared" si="1"/>
        <v>0</v>
      </c>
      <c r="I40" s="38"/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-202</v>
      </c>
      <c r="G42" s="4">
        <f>G43+G48+G55+G58</f>
        <v>-523.2</v>
      </c>
      <c r="H42" s="4">
        <f t="shared" si="1"/>
        <v>0</v>
      </c>
      <c r="I42" s="40">
        <f aca="true" t="shared" si="15" ref="I42:T42">I43+I48+I55+I58</f>
        <v>0</v>
      </c>
      <c r="J42" s="40">
        <f t="shared" si="15"/>
        <v>0</v>
      </c>
      <c r="K42" s="40">
        <f t="shared" si="15"/>
        <v>0</v>
      </c>
      <c r="L42" s="40">
        <f t="shared" si="15"/>
        <v>0</v>
      </c>
      <c r="M42" s="40">
        <f t="shared" si="15"/>
        <v>0</v>
      </c>
      <c r="N42" s="4">
        <f t="shared" si="15"/>
        <v>0</v>
      </c>
      <c r="O42" s="4">
        <f t="shared" si="15"/>
        <v>0</v>
      </c>
      <c r="P42" s="4">
        <f t="shared" si="15"/>
        <v>0</v>
      </c>
      <c r="Q42" s="4">
        <f t="shared" si="15"/>
        <v>0</v>
      </c>
      <c r="R42" s="4">
        <f>R43+R48+R55+R58</f>
        <v>0</v>
      </c>
      <c r="S42" s="4">
        <f t="shared" si="15"/>
        <v>0</v>
      </c>
      <c r="T42" s="4">
        <f t="shared" si="15"/>
        <v>0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0</v>
      </c>
      <c r="G43" s="4">
        <f>G44+G46+G47</f>
        <v>0</v>
      </c>
      <c r="H43" s="7">
        <f t="shared" si="1"/>
        <v>0</v>
      </c>
      <c r="I43" s="40">
        <f aca="true" t="shared" si="16" ref="I43:T43">I44+I46+I47</f>
        <v>0</v>
      </c>
      <c r="J43" s="40">
        <f t="shared" si="16"/>
        <v>0</v>
      </c>
      <c r="K43" s="40">
        <f t="shared" si="16"/>
        <v>0</v>
      </c>
      <c r="L43" s="40">
        <f t="shared" si="16"/>
        <v>0</v>
      </c>
      <c r="M43" s="40">
        <f t="shared" si="16"/>
        <v>0</v>
      </c>
      <c r="N43" s="4">
        <f t="shared" si="16"/>
        <v>0</v>
      </c>
      <c r="O43" s="4">
        <f t="shared" si="16"/>
        <v>0</v>
      </c>
      <c r="P43" s="4">
        <f t="shared" si="16"/>
        <v>0</v>
      </c>
      <c r="Q43" s="4">
        <f t="shared" si="16"/>
        <v>0</v>
      </c>
      <c r="R43" s="4">
        <f t="shared" si="16"/>
        <v>0</v>
      </c>
      <c r="S43" s="4">
        <f t="shared" si="16"/>
        <v>0</v>
      </c>
      <c r="T43" s="4">
        <f t="shared" si="16"/>
        <v>0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0</v>
      </c>
      <c r="G44" s="4">
        <f>G45</f>
        <v>0</v>
      </c>
      <c r="H44" s="7">
        <f t="shared" si="1"/>
        <v>0</v>
      </c>
      <c r="I44" s="40">
        <f>I45</f>
        <v>0</v>
      </c>
      <c r="J44" s="40">
        <f>J45</f>
        <v>0</v>
      </c>
      <c r="K44" s="40">
        <f>K45</f>
        <v>0</v>
      </c>
      <c r="L44" s="40">
        <f>L45</f>
        <v>0</v>
      </c>
      <c r="M44" s="40">
        <f aca="true" t="shared" si="17" ref="M44:T44">M45</f>
        <v>0</v>
      </c>
      <c r="N44" s="4">
        <f t="shared" si="17"/>
        <v>0</v>
      </c>
      <c r="O44" s="4">
        <f t="shared" si="17"/>
        <v>0</v>
      </c>
      <c r="P44" s="4">
        <f t="shared" si="17"/>
        <v>0</v>
      </c>
      <c r="Q44" s="4">
        <f t="shared" si="17"/>
        <v>0</v>
      </c>
      <c r="R44" s="4">
        <f t="shared" si="17"/>
        <v>0</v>
      </c>
      <c r="S44" s="4">
        <f t="shared" si="17"/>
        <v>0</v>
      </c>
      <c r="T44" s="4">
        <f t="shared" si="17"/>
        <v>0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/>
      <c r="G45" s="13"/>
      <c r="H45" s="10">
        <f t="shared" si="1"/>
        <v>0</v>
      </c>
      <c r="I45" s="38"/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0</v>
      </c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0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/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-202</v>
      </c>
      <c r="G48" s="4">
        <f>G54+G49</f>
        <v>-523.2</v>
      </c>
      <c r="H48" s="7">
        <f t="shared" si="1"/>
        <v>0</v>
      </c>
      <c r="I48" s="40">
        <f>I54+I49</f>
        <v>0</v>
      </c>
      <c r="J48" s="40">
        <f>J54+J49</f>
        <v>0</v>
      </c>
      <c r="K48" s="40">
        <f>K54+K49</f>
        <v>0</v>
      </c>
      <c r="L48" s="40">
        <f>L54+L49</f>
        <v>0</v>
      </c>
      <c r="M48" s="40">
        <f aca="true" t="shared" si="18" ref="M48:T48">M54+M49</f>
        <v>0</v>
      </c>
      <c r="N48" s="4">
        <f t="shared" si="18"/>
        <v>0</v>
      </c>
      <c r="O48" s="4">
        <f t="shared" si="18"/>
        <v>0</v>
      </c>
      <c r="P48" s="4">
        <f t="shared" si="18"/>
        <v>0</v>
      </c>
      <c r="Q48" s="4">
        <f t="shared" si="18"/>
        <v>0</v>
      </c>
      <c r="R48" s="4">
        <f t="shared" si="18"/>
        <v>0</v>
      </c>
      <c r="S48" s="4">
        <f t="shared" si="18"/>
        <v>0</v>
      </c>
      <c r="T48" s="4">
        <f t="shared" si="18"/>
        <v>0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-202</v>
      </c>
      <c r="G49" s="4">
        <f>SUM(G50:G53)</f>
        <v>-523.2</v>
      </c>
      <c r="H49" s="7">
        <f t="shared" si="1"/>
        <v>0</v>
      </c>
      <c r="I49" s="40">
        <f>SUM(I50:I53)</f>
        <v>0</v>
      </c>
      <c r="J49" s="40">
        <f>SUM(J50:J53)</f>
        <v>0</v>
      </c>
      <c r="K49" s="40">
        <f>SUM(K50:K53)</f>
        <v>0</v>
      </c>
      <c r="L49" s="40">
        <f>SUM(L50:L53)</f>
        <v>0</v>
      </c>
      <c r="M49" s="40">
        <f aca="true" t="shared" si="19" ref="M49:T49">SUM(M50:M53)</f>
        <v>0</v>
      </c>
      <c r="N49" s="4">
        <f t="shared" si="19"/>
        <v>0</v>
      </c>
      <c r="O49" s="4">
        <f t="shared" si="19"/>
        <v>0</v>
      </c>
      <c r="P49" s="4">
        <f t="shared" si="19"/>
        <v>0</v>
      </c>
      <c r="Q49" s="4">
        <f t="shared" si="19"/>
        <v>0</v>
      </c>
      <c r="R49" s="4">
        <f t="shared" si="19"/>
        <v>0</v>
      </c>
      <c r="S49" s="4">
        <f t="shared" si="19"/>
        <v>0</v>
      </c>
      <c r="T49" s="4">
        <f t="shared" si="19"/>
        <v>0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-202</v>
      </c>
      <c r="G50" s="13">
        <v>-523.2</v>
      </c>
      <c r="H50" s="10">
        <f t="shared" si="1"/>
        <v>0</v>
      </c>
      <c r="I50" s="38"/>
      <c r="J50" s="38"/>
      <c r="K50" s="38"/>
      <c r="L50" s="38"/>
      <c r="M50" s="38"/>
      <c r="N50" s="13"/>
      <c r="O50" s="13"/>
      <c r="P50" s="13"/>
      <c r="Q50" s="13"/>
      <c r="R50" s="13"/>
      <c r="S50" s="13"/>
      <c r="T50" s="13"/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/>
      <c r="H51" s="10">
        <f t="shared" si="1"/>
        <v>0</v>
      </c>
      <c r="I51" s="38"/>
      <c r="J51" s="38"/>
      <c r="K51" s="38"/>
      <c r="L51" s="38"/>
      <c r="M51" s="38"/>
      <c r="N51" s="13"/>
      <c r="O51" s="13"/>
      <c r="P51" s="13"/>
      <c r="Q51" s="13"/>
      <c r="R51" s="13"/>
      <c r="S51" s="13"/>
      <c r="T51" s="13"/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0</v>
      </c>
      <c r="G55" s="4">
        <f>G57+G56</f>
        <v>0</v>
      </c>
      <c r="H55" s="7">
        <f t="shared" si="1"/>
        <v>0</v>
      </c>
      <c r="I55" s="40">
        <f>I57+I56</f>
        <v>0</v>
      </c>
      <c r="J55" s="40">
        <f>J57+J56</f>
        <v>0</v>
      </c>
      <c r="K55" s="40">
        <f>K57+K56</f>
        <v>0</v>
      </c>
      <c r="L55" s="40">
        <f>L57+L56</f>
        <v>0</v>
      </c>
      <c r="M55" s="40">
        <f aca="true" t="shared" si="20" ref="M55:T55">M57+M56</f>
        <v>0</v>
      </c>
      <c r="N55" s="4">
        <f t="shared" si="20"/>
        <v>0</v>
      </c>
      <c r="O55" s="4">
        <f t="shared" si="20"/>
        <v>0</v>
      </c>
      <c r="P55" s="4">
        <f t="shared" si="20"/>
        <v>0</v>
      </c>
      <c r="Q55" s="4">
        <f t="shared" si="20"/>
        <v>0</v>
      </c>
      <c r="R55" s="4">
        <f t="shared" si="20"/>
        <v>0</v>
      </c>
      <c r="S55" s="4">
        <f t="shared" si="20"/>
        <v>0</v>
      </c>
      <c r="T55" s="4">
        <f t="shared" si="20"/>
        <v>0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/>
      <c r="G56" s="4"/>
      <c r="H56" s="7">
        <f t="shared" si="1"/>
        <v>0</v>
      </c>
      <c r="I56" s="40"/>
      <c r="J56" s="40"/>
      <c r="K56" s="40"/>
      <c r="L56" s="40"/>
      <c r="M56" s="40"/>
      <c r="N56" s="4"/>
      <c r="O56" s="4"/>
      <c r="P56" s="4"/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-8718.92</v>
      </c>
      <c r="G59" s="7">
        <f>G3+G15+G18+G42</f>
        <v>174.78999999999974</v>
      </c>
      <c r="H59" s="7">
        <f t="shared" si="1"/>
        <v>152.01</v>
      </c>
      <c r="I59" s="43">
        <f>I3+I15+I18+I42</f>
        <v>88.5</v>
      </c>
      <c r="J59" s="43">
        <f>J3+J15+J18+J42</f>
        <v>72.87</v>
      </c>
      <c r="K59" s="43">
        <f>K3+K15+K18+K42</f>
        <v>83.29000000000002</v>
      </c>
      <c r="L59" s="43">
        <f>L3+L15+L18+L42</f>
        <v>72.87</v>
      </c>
      <c r="M59" s="43">
        <f aca="true" t="shared" si="21" ref="M59:T59">M3+M15+M18+M42</f>
        <v>62.50999999999999</v>
      </c>
      <c r="N59" s="7">
        <f t="shared" si="21"/>
        <v>36.46000000000001</v>
      </c>
      <c r="O59" s="7">
        <f t="shared" si="21"/>
        <v>41.66999999999999</v>
      </c>
      <c r="P59" s="7">
        <f t="shared" si="21"/>
        <v>57.30000000000001</v>
      </c>
      <c r="Q59" s="7">
        <f t="shared" si="21"/>
        <v>93.70999999999998</v>
      </c>
      <c r="R59" s="7">
        <f t="shared" si="21"/>
        <v>-587.34</v>
      </c>
      <c r="S59" s="7">
        <f t="shared" si="21"/>
        <v>72.87</v>
      </c>
      <c r="T59" s="7">
        <f t="shared" si="21"/>
        <v>57.299999999999955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246</v>
      </c>
      <c r="O61" s="5" t="s">
        <v>247</v>
      </c>
      <c r="P61" s="5" t="s">
        <v>96</v>
      </c>
      <c r="Q61" s="5" t="s">
        <v>252</v>
      </c>
      <c r="R61" s="5" t="s">
        <v>98</v>
      </c>
      <c r="S61" s="5" t="s">
        <v>267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0</v>
      </c>
      <c r="I62" s="44">
        <f>SUM(I63:I71)</f>
        <v>0</v>
      </c>
      <c r="J62" s="44">
        <f>SUM(J63:J71)</f>
        <v>0</v>
      </c>
      <c r="K62" s="44">
        <f>SUM(K63:K71)</f>
        <v>0</v>
      </c>
      <c r="L62" s="44">
        <f>SUM(L63:L71)</f>
        <v>0</v>
      </c>
      <c r="M62" s="44">
        <f aca="true" t="shared" si="22" ref="M62:T62">SUM(M63:M71)</f>
        <v>0</v>
      </c>
      <c r="N62">
        <f t="shared" si="22"/>
        <v>0</v>
      </c>
      <c r="O62">
        <f t="shared" si="22"/>
        <v>0</v>
      </c>
      <c r="P62">
        <f t="shared" si="22"/>
        <v>0</v>
      </c>
      <c r="Q62">
        <f t="shared" si="22"/>
        <v>0</v>
      </c>
      <c r="R62">
        <f t="shared" si="22"/>
        <v>0</v>
      </c>
      <c r="S62">
        <f t="shared" si="22"/>
        <v>0</v>
      </c>
      <c r="T62">
        <f t="shared" si="22"/>
        <v>0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 aca="true" t="shared" si="23" ref="H63:H74">SUM(I63:T63)</f>
        <v>0</v>
      </c>
      <c r="I63" s="46"/>
      <c r="J63" s="46"/>
      <c r="K63" s="46"/>
      <c r="L63" s="46"/>
      <c r="M63" s="46"/>
      <c r="N63" s="24"/>
      <c r="O63" s="24"/>
      <c r="P63" s="24"/>
      <c r="Q63" s="24"/>
      <c r="R63" s="24"/>
      <c r="S63" s="24"/>
      <c r="T63" s="24"/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t="shared" si="23"/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3"/>
        <v>0</v>
      </c>
      <c r="I65" s="47"/>
      <c r="J65" s="47"/>
      <c r="K65" s="47"/>
      <c r="L65" s="47"/>
      <c r="M65" s="47"/>
      <c r="N65" s="27"/>
      <c r="O65" s="27"/>
      <c r="P65" s="27"/>
      <c r="Q65" s="27"/>
      <c r="R65" s="27"/>
      <c r="S65" s="27"/>
      <c r="T65" s="27"/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3"/>
        <v>0</v>
      </c>
      <c r="I66" s="47"/>
      <c r="J66" s="47"/>
      <c r="K66" s="47"/>
      <c r="L66" s="47"/>
      <c r="M66" s="47"/>
      <c r="N66" s="27"/>
      <c r="O66" s="27"/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3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3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3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 t="shared" si="23"/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 t="shared" si="23"/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 t="shared" si="23"/>
        <v>0</v>
      </c>
      <c r="I72" s="24">
        <f aca="true" t="shared" si="24" ref="I72:T72">I62*33/100</f>
        <v>0</v>
      </c>
      <c r="J72" s="24">
        <f t="shared" si="24"/>
        <v>0</v>
      </c>
      <c r="K72" s="24">
        <f t="shared" si="24"/>
        <v>0</v>
      </c>
      <c r="L72" s="24">
        <f t="shared" si="24"/>
        <v>0</v>
      </c>
      <c r="M72" s="24">
        <f t="shared" si="24"/>
        <v>0</v>
      </c>
      <c r="N72" s="24">
        <f t="shared" si="24"/>
        <v>0</v>
      </c>
      <c r="O72" s="24">
        <f t="shared" si="24"/>
        <v>0</v>
      </c>
      <c r="P72" s="24">
        <f t="shared" si="24"/>
        <v>0</v>
      </c>
      <c r="Q72" s="24">
        <f t="shared" si="24"/>
        <v>0</v>
      </c>
      <c r="R72" s="24">
        <f t="shared" si="24"/>
        <v>0</v>
      </c>
      <c r="S72" s="24">
        <f t="shared" si="24"/>
        <v>0</v>
      </c>
      <c r="T72" s="24">
        <f t="shared" si="24"/>
        <v>0</v>
      </c>
    </row>
    <row r="73" spans="5:20" ht="12.75">
      <c r="E73" s="28" t="s">
        <v>74</v>
      </c>
      <c r="F73" s="28"/>
      <c r="G73" s="28"/>
      <c r="H73" s="21">
        <f t="shared" si="23"/>
        <v>0</v>
      </c>
      <c r="I73" s="24">
        <f aca="true" t="shared" si="25" ref="I73:T73">1.4*I62/100</f>
        <v>0</v>
      </c>
      <c r="J73" s="24">
        <f t="shared" si="25"/>
        <v>0</v>
      </c>
      <c r="K73" s="24">
        <f t="shared" si="25"/>
        <v>0</v>
      </c>
      <c r="L73" s="24">
        <f t="shared" si="25"/>
        <v>0</v>
      </c>
      <c r="M73" s="24">
        <f t="shared" si="25"/>
        <v>0</v>
      </c>
      <c r="N73" s="24">
        <f t="shared" si="25"/>
        <v>0</v>
      </c>
      <c r="O73" s="24">
        <f t="shared" si="25"/>
        <v>0</v>
      </c>
      <c r="P73" s="24">
        <f t="shared" si="25"/>
        <v>0</v>
      </c>
      <c r="Q73" s="24">
        <f t="shared" si="25"/>
        <v>0</v>
      </c>
      <c r="R73" s="24">
        <f t="shared" si="25"/>
        <v>0</v>
      </c>
      <c r="S73" s="24">
        <f t="shared" si="25"/>
        <v>0</v>
      </c>
      <c r="T73" s="24">
        <f t="shared" si="25"/>
        <v>0</v>
      </c>
    </row>
    <row r="74" spans="6:20" ht="12.75">
      <c r="F74" s="29"/>
      <c r="G74" s="29"/>
      <c r="H74" s="21">
        <f t="shared" si="23"/>
        <v>0</v>
      </c>
      <c r="I74" s="24">
        <f aca="true" t="shared" si="26" ref="I74:T74">I62+I72+I73</f>
        <v>0</v>
      </c>
      <c r="J74" s="24">
        <f t="shared" si="26"/>
        <v>0</v>
      </c>
      <c r="K74" s="24">
        <f t="shared" si="26"/>
        <v>0</v>
      </c>
      <c r="L74" s="24">
        <f t="shared" si="26"/>
        <v>0</v>
      </c>
      <c r="M74" s="24">
        <f t="shared" si="26"/>
        <v>0</v>
      </c>
      <c r="N74" s="24">
        <f t="shared" si="26"/>
        <v>0</v>
      </c>
      <c r="O74" s="24">
        <f t="shared" si="26"/>
        <v>0</v>
      </c>
      <c r="P74" s="24">
        <f t="shared" si="26"/>
        <v>0</v>
      </c>
      <c r="Q74" s="24">
        <f t="shared" si="26"/>
        <v>0</v>
      </c>
      <c r="R74" s="24">
        <f t="shared" si="26"/>
        <v>0</v>
      </c>
      <c r="S74" s="24">
        <f t="shared" si="26"/>
        <v>0</v>
      </c>
      <c r="T74" s="24">
        <f t="shared" si="26"/>
        <v>0</v>
      </c>
    </row>
    <row r="75" spans="5:20" ht="12.75">
      <c r="E75" s="30" t="s">
        <v>75</v>
      </c>
      <c r="H75" s="21" t="s">
        <v>116</v>
      </c>
      <c r="I75" s="48">
        <v>28.9</v>
      </c>
      <c r="J75" s="48">
        <f>J78/J77</f>
        <v>28.896428571428572</v>
      </c>
      <c r="K75" s="48">
        <f>K78/K77</f>
        <v>28.896875</v>
      </c>
      <c r="L75" s="48">
        <f aca="true" t="shared" si="27" ref="L75:T75">L78/L77</f>
        <v>28.896428571428572</v>
      </c>
      <c r="M75" s="48">
        <f t="shared" si="27"/>
        <v>28.900000000000002</v>
      </c>
      <c r="N75" s="48">
        <f t="shared" si="27"/>
        <v>28.900000000000002</v>
      </c>
      <c r="O75" s="48">
        <f t="shared" si="27"/>
        <v>28.900000000000002</v>
      </c>
      <c r="P75" s="48">
        <f t="shared" si="27"/>
        <v>28.900000000000002</v>
      </c>
      <c r="Q75" s="48">
        <f t="shared" si="27"/>
        <v>28.897222222222226</v>
      </c>
      <c r="R75" s="48">
        <f t="shared" si="27"/>
        <v>28.896153846153844</v>
      </c>
      <c r="S75" s="48">
        <f t="shared" si="27"/>
        <v>28.896428571428572</v>
      </c>
      <c r="T75" s="48">
        <f t="shared" si="27"/>
        <v>28.9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8" ref="H77:H92">SUM(I77:T77)</f>
        <v>155</v>
      </c>
      <c r="I77" s="32">
        <v>17</v>
      </c>
      <c r="J77" s="32">
        <v>14</v>
      </c>
      <c r="K77" s="32">
        <v>16</v>
      </c>
      <c r="L77" s="32">
        <v>14</v>
      </c>
      <c r="M77" s="32">
        <v>12</v>
      </c>
      <c r="N77" s="1">
        <v>7</v>
      </c>
      <c r="O77" s="1">
        <v>8</v>
      </c>
      <c r="P77" s="1">
        <v>11</v>
      </c>
      <c r="Q77" s="1">
        <v>18</v>
      </c>
      <c r="R77" s="1">
        <v>13</v>
      </c>
      <c r="S77" s="1">
        <v>14</v>
      </c>
      <c r="T77" s="1">
        <v>11</v>
      </c>
    </row>
    <row r="78" spans="1:20" ht="12.75">
      <c r="A78" s="1"/>
      <c r="B78" s="1"/>
      <c r="C78" s="1"/>
      <c r="D78" s="1"/>
      <c r="E78" s="32" t="s">
        <v>78</v>
      </c>
      <c r="H78" s="7">
        <f t="shared" si="28"/>
        <v>4479.2</v>
      </c>
      <c r="I78" s="40">
        <f>I77*I75</f>
        <v>491.29999999999995</v>
      </c>
      <c r="J78" s="40">
        <v>404.55</v>
      </c>
      <c r="K78" s="40">
        <v>462.35</v>
      </c>
      <c r="L78" s="40">
        <v>404.55</v>
      </c>
      <c r="M78" s="40">
        <v>346.8</v>
      </c>
      <c r="N78" s="4">
        <f>N77*M75</f>
        <v>202.3</v>
      </c>
      <c r="O78" s="4">
        <f>O77*N75</f>
        <v>231.20000000000002</v>
      </c>
      <c r="P78" s="4">
        <f>P77*O75</f>
        <v>317.90000000000003</v>
      </c>
      <c r="Q78" s="4">
        <f>Q77*P75-0.05</f>
        <v>520.1500000000001</v>
      </c>
      <c r="R78" s="4">
        <v>375.65</v>
      </c>
      <c r="S78" s="4">
        <v>404.55</v>
      </c>
      <c r="T78" s="4">
        <v>317.9</v>
      </c>
    </row>
    <row r="79" spans="1:20" ht="18">
      <c r="A79" s="1"/>
      <c r="B79" s="1"/>
      <c r="C79" s="1"/>
      <c r="D79" s="1"/>
      <c r="E79" s="33" t="s">
        <v>118</v>
      </c>
      <c r="F79" s="2"/>
      <c r="G79" s="2"/>
      <c r="H79" s="7">
        <f t="shared" si="28"/>
        <v>294.7</v>
      </c>
      <c r="I79" s="38"/>
      <c r="J79" s="38">
        <v>23.7</v>
      </c>
      <c r="K79" s="38">
        <v>23.7</v>
      </c>
      <c r="L79" s="38">
        <v>23.7</v>
      </c>
      <c r="M79" s="38">
        <v>23.7</v>
      </c>
      <c r="N79" s="38">
        <v>23.7</v>
      </c>
      <c r="O79" s="38">
        <v>23.7</v>
      </c>
      <c r="P79" s="38">
        <v>23.7</v>
      </c>
      <c r="Q79" s="38">
        <v>41.4</v>
      </c>
      <c r="R79" s="38">
        <v>29.9</v>
      </c>
      <c r="S79" s="38">
        <v>32.2</v>
      </c>
      <c r="T79" s="38">
        <v>25.3</v>
      </c>
    </row>
    <row r="80" spans="1:20" ht="12.75">
      <c r="A80" s="1"/>
      <c r="B80" s="1"/>
      <c r="C80" s="1"/>
      <c r="D80" s="1"/>
      <c r="E80" s="32" t="s">
        <v>80</v>
      </c>
      <c r="H80" s="7">
        <f t="shared" si="28"/>
        <v>147.29</v>
      </c>
      <c r="I80" s="38">
        <v>17</v>
      </c>
      <c r="J80" s="38">
        <v>14</v>
      </c>
      <c r="K80" s="38">
        <v>16</v>
      </c>
      <c r="L80" s="38">
        <v>14</v>
      </c>
      <c r="M80" s="38">
        <v>12</v>
      </c>
      <c r="N80" s="13">
        <v>7</v>
      </c>
      <c r="O80" s="13">
        <v>8</v>
      </c>
      <c r="P80" s="13">
        <v>11</v>
      </c>
      <c r="Q80" s="13">
        <v>10.29</v>
      </c>
      <c r="R80" s="13">
        <v>13</v>
      </c>
      <c r="S80" s="13">
        <v>14</v>
      </c>
      <c r="T80" s="13">
        <v>11</v>
      </c>
    </row>
    <row r="81" spans="1:20" ht="12.75">
      <c r="A81" s="1"/>
      <c r="B81" s="1"/>
      <c r="C81" s="1"/>
      <c r="D81" s="1"/>
      <c r="E81" s="32" t="s">
        <v>81</v>
      </c>
      <c r="F81" s="22"/>
      <c r="G81" s="22"/>
      <c r="H81" s="7">
        <f t="shared" si="28"/>
        <v>3672.366</v>
      </c>
      <c r="I81" s="40">
        <v>402.75</v>
      </c>
      <c r="J81" s="40">
        <v>331.68</v>
      </c>
      <c r="K81" s="40">
        <f>K79*K80-0.14</f>
        <v>379.06</v>
      </c>
      <c r="L81" s="40">
        <v>331.68</v>
      </c>
      <c r="M81" s="40">
        <v>284.29</v>
      </c>
      <c r="N81" s="4">
        <f>N79*N80</f>
        <v>165.9</v>
      </c>
      <c r="O81" s="4">
        <f>O79*O80</f>
        <v>189.6</v>
      </c>
      <c r="P81" s="4">
        <f>P79*P80</f>
        <v>260.7</v>
      </c>
      <c r="Q81" s="4">
        <f>Q79*Q80+0.43</f>
        <v>426.436</v>
      </c>
      <c r="R81" s="4">
        <v>307.99</v>
      </c>
      <c r="S81" s="4">
        <v>331.68</v>
      </c>
      <c r="T81" s="4">
        <v>260.6</v>
      </c>
    </row>
    <row r="82" spans="1:20" ht="12.75">
      <c r="A82" s="1"/>
      <c r="B82" s="1"/>
      <c r="C82" s="1"/>
      <c r="D82" s="1"/>
      <c r="E82" s="33"/>
      <c r="F82" s="22"/>
      <c r="G82" s="22"/>
      <c r="H82" s="7">
        <f t="shared" si="28"/>
        <v>0</v>
      </c>
      <c r="I82" s="38"/>
      <c r="J82" s="38"/>
      <c r="K82" s="38"/>
      <c r="L82" s="38"/>
      <c r="M82" s="38"/>
      <c r="N82" s="13"/>
      <c r="O82" s="13"/>
      <c r="P82" s="13"/>
      <c r="Q82" s="13"/>
      <c r="R82" s="13"/>
      <c r="S82" s="13"/>
      <c r="T82" s="13"/>
    </row>
    <row r="83" spans="1:20" ht="12.75">
      <c r="A83" s="1"/>
      <c r="B83" s="1"/>
      <c r="C83" s="1"/>
      <c r="D83" s="1"/>
      <c r="E83" s="32" t="s">
        <v>80</v>
      </c>
      <c r="F83" s="26"/>
      <c r="G83" s="26"/>
      <c r="H83" s="7">
        <f t="shared" si="28"/>
        <v>0</v>
      </c>
      <c r="I83" s="32"/>
      <c r="J83" s="32"/>
      <c r="K83" s="32"/>
      <c r="L83" s="32"/>
      <c r="M83" s="32"/>
      <c r="N83" s="1"/>
      <c r="O83" s="1"/>
      <c r="P83" s="1"/>
      <c r="Q83" s="1"/>
      <c r="R83" s="1"/>
      <c r="S83" s="1">
        <v>0</v>
      </c>
      <c r="T83" s="1"/>
    </row>
    <row r="84" spans="1:20" ht="12.75">
      <c r="A84" s="1"/>
      <c r="B84" s="1"/>
      <c r="C84" s="1"/>
      <c r="D84" s="1"/>
      <c r="E84" s="32" t="s">
        <v>81</v>
      </c>
      <c r="F84" s="26"/>
      <c r="G84" s="26"/>
      <c r="H84" s="7">
        <f t="shared" si="28"/>
        <v>0</v>
      </c>
      <c r="I84" s="40">
        <f>I82*I83</f>
        <v>0</v>
      </c>
      <c r="J84" s="40">
        <f>J82*J83</f>
        <v>0</v>
      </c>
      <c r="K84" s="40">
        <f>K82*K83</f>
        <v>0</v>
      </c>
      <c r="L84" s="40">
        <f>L82*L83</f>
        <v>0</v>
      </c>
      <c r="M84" s="40">
        <f aca="true" t="shared" si="29" ref="M84:T84">M82*M83</f>
        <v>0</v>
      </c>
      <c r="N84" s="4">
        <f t="shared" si="29"/>
        <v>0</v>
      </c>
      <c r="O84" s="4">
        <f t="shared" si="29"/>
        <v>0</v>
      </c>
      <c r="P84" s="4">
        <f t="shared" si="29"/>
        <v>0</v>
      </c>
      <c r="Q84" s="4">
        <f t="shared" si="29"/>
        <v>0</v>
      </c>
      <c r="R84" s="4">
        <f t="shared" si="29"/>
        <v>0</v>
      </c>
      <c r="S84" s="4">
        <f t="shared" si="29"/>
        <v>0</v>
      </c>
      <c r="T84" s="4">
        <f t="shared" si="29"/>
        <v>0</v>
      </c>
    </row>
    <row r="85" spans="6:19" ht="12.75">
      <c r="F85" s="26"/>
      <c r="G85" s="26" t="s">
        <v>83</v>
      </c>
      <c r="H85" s="7">
        <f t="shared" si="28"/>
        <v>0</v>
      </c>
      <c r="I85" s="44"/>
      <c r="S85">
        <v>0</v>
      </c>
    </row>
    <row r="86" spans="1:20" ht="18">
      <c r="A86" s="1"/>
      <c r="B86" s="1"/>
      <c r="C86" s="1"/>
      <c r="D86" s="1"/>
      <c r="E86" s="2"/>
      <c r="H86" s="3">
        <f t="shared" si="28"/>
        <v>0</v>
      </c>
      <c r="I86" s="40" t="s">
        <v>89</v>
      </c>
      <c r="J86" s="40" t="s">
        <v>90</v>
      </c>
      <c r="K86" s="40" t="s">
        <v>91</v>
      </c>
      <c r="L86" s="45" t="s">
        <v>92</v>
      </c>
      <c r="M86" s="40" t="s">
        <v>93</v>
      </c>
      <c r="N86" s="4" t="s">
        <v>94</v>
      </c>
      <c r="O86" s="4" t="s">
        <v>95</v>
      </c>
      <c r="P86" s="5" t="s">
        <v>96</v>
      </c>
      <c r="Q86" s="4" t="s">
        <v>97</v>
      </c>
      <c r="R86" s="4" t="s">
        <v>98</v>
      </c>
      <c r="S86" s="4" t="s">
        <v>99</v>
      </c>
      <c r="T86" s="5" t="s">
        <v>100</v>
      </c>
    </row>
    <row r="87" spans="5:20" ht="12.75">
      <c r="E87" s="18" t="s">
        <v>84</v>
      </c>
      <c r="H87" s="21">
        <f t="shared" si="28"/>
        <v>0</v>
      </c>
      <c r="I87" s="44">
        <f>SUM(I88:I93)</f>
        <v>0</v>
      </c>
      <c r="J87" s="44">
        <f>SUM(J88:J93)</f>
        <v>0</v>
      </c>
      <c r="K87" s="44">
        <f>SUM(K88:K93)</f>
        <v>0</v>
      </c>
      <c r="L87" s="44">
        <f>SUM(L88:L93)</f>
        <v>0</v>
      </c>
      <c r="M87" s="44">
        <f aca="true" t="shared" si="30" ref="M87:T87">SUM(M88:M93)</f>
        <v>0</v>
      </c>
      <c r="N87">
        <f t="shared" si="30"/>
        <v>0</v>
      </c>
      <c r="O87">
        <f t="shared" si="30"/>
        <v>0</v>
      </c>
      <c r="P87">
        <f t="shared" si="30"/>
        <v>0</v>
      </c>
      <c r="Q87">
        <f t="shared" si="30"/>
        <v>0</v>
      </c>
      <c r="R87">
        <f t="shared" si="30"/>
        <v>0</v>
      </c>
      <c r="S87">
        <f t="shared" si="30"/>
        <v>0</v>
      </c>
      <c r="T87">
        <f t="shared" si="30"/>
        <v>0</v>
      </c>
    </row>
    <row r="88" spans="1:13" s="25" customFormat="1" ht="12.75">
      <c r="A88" s="22"/>
      <c r="B88" s="22"/>
      <c r="C88" s="22"/>
      <c r="D88" s="22"/>
      <c r="E88" s="22" t="s">
        <v>85</v>
      </c>
      <c r="F88" s="18"/>
      <c r="G88" s="18"/>
      <c r="H88" s="23">
        <f t="shared" si="28"/>
        <v>0</v>
      </c>
      <c r="I88" s="49"/>
      <c r="J88" s="49"/>
      <c r="K88" s="49"/>
      <c r="L88" s="49"/>
      <c r="M88" s="49"/>
    </row>
    <row r="89" spans="1:13" s="25" customFormat="1" ht="12.75">
      <c r="A89" s="22"/>
      <c r="B89" s="22"/>
      <c r="C89" s="22"/>
      <c r="D89" s="22"/>
      <c r="E89" s="22" t="s">
        <v>86</v>
      </c>
      <c r="F89" s="18"/>
      <c r="G89" s="18"/>
      <c r="H89" s="23">
        <f t="shared" si="28"/>
        <v>0</v>
      </c>
      <c r="I89" s="49"/>
      <c r="J89" s="49"/>
      <c r="K89" s="49"/>
      <c r="L89" s="49"/>
      <c r="M89" s="49"/>
    </row>
    <row r="90" spans="1:13" s="25" customFormat="1" ht="12.75">
      <c r="A90" s="22"/>
      <c r="B90" s="22"/>
      <c r="C90" s="22"/>
      <c r="D90" s="22"/>
      <c r="E90" s="26" t="s">
        <v>107</v>
      </c>
      <c r="F90" s="18"/>
      <c r="G90" s="18"/>
      <c r="H90" s="23">
        <f t="shared" si="28"/>
        <v>0</v>
      </c>
      <c r="I90" s="49"/>
      <c r="J90" s="49"/>
      <c r="K90" s="49"/>
      <c r="L90" s="49"/>
      <c r="M90" s="49"/>
    </row>
    <row r="91" spans="1:13" s="25" customFormat="1" ht="12.75">
      <c r="A91" s="22"/>
      <c r="B91" s="22"/>
      <c r="C91" s="22"/>
      <c r="D91" s="22"/>
      <c r="E91" s="26" t="s">
        <v>87</v>
      </c>
      <c r="F91" s="18"/>
      <c r="G91" s="18"/>
      <c r="H91" s="23">
        <f t="shared" si="28"/>
        <v>0</v>
      </c>
      <c r="I91" s="49"/>
      <c r="J91" s="49"/>
      <c r="K91" s="49"/>
      <c r="L91" s="49"/>
      <c r="M91" s="49"/>
    </row>
    <row r="92" spans="1:13" s="25" customFormat="1" ht="12.75">
      <c r="A92" s="22"/>
      <c r="B92" s="22"/>
      <c r="C92" s="22"/>
      <c r="D92" s="22"/>
      <c r="E92" s="26" t="s">
        <v>88</v>
      </c>
      <c r="F92" s="18"/>
      <c r="G92" s="18"/>
      <c r="H92" s="23">
        <f t="shared" si="28"/>
        <v>0</v>
      </c>
      <c r="I92" s="49"/>
      <c r="J92" s="49"/>
      <c r="K92" s="49"/>
      <c r="L92" s="49"/>
      <c r="M92" s="49"/>
    </row>
    <row r="93" ht="12.75">
      <c r="I93" s="44"/>
    </row>
    <row r="94" ht="12.75">
      <c r="I94" s="44"/>
    </row>
    <row r="95" ht="12.75">
      <c r="I95" s="44"/>
    </row>
    <row r="96" ht="12.75">
      <c r="I96" s="44"/>
    </row>
    <row r="97" ht="12.75">
      <c r="I97" s="44"/>
    </row>
    <row r="98" ht="12.75">
      <c r="I98" s="44"/>
    </row>
    <row r="99" ht="12.75">
      <c r="I99" s="44"/>
    </row>
    <row r="100" ht="12.75">
      <c r="I100" s="44"/>
    </row>
    <row r="101" ht="12.75"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17" top="0.38" bottom="0.65" header="0.22" footer="0.5"/>
  <pageSetup fitToHeight="2" horizontalDpi="600" verticalDpi="600" orientation="landscape" paperSize="9" scale="56" r:id="rId3"/>
  <headerFooter alignWithMargins="0">
    <oddHeader>&amp;C&amp;F  &amp;D]&amp;R&amp;A</oddHeader>
    <oddFooter>&amp;C&amp;F  &amp;D&amp;Rgaasi müük elanikonnale teg ala  &amp;A</oddFooter>
  </headerFooter>
  <rowBreaks count="1" manualBreakCount="1">
    <brk id="60" max="1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1">
      <pane xSplit="8" ySplit="2" topLeftCell="L63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O64" sqref="O64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94</v>
      </c>
      <c r="O2" s="5" t="s">
        <v>95</v>
      </c>
      <c r="P2" s="5" t="s">
        <v>96</v>
      </c>
      <c r="Q2" s="5" t="s">
        <v>252</v>
      </c>
      <c r="R2" s="5" t="s">
        <v>262</v>
      </c>
      <c r="S2" s="5" t="s">
        <v>267</v>
      </c>
      <c r="T2" s="5" t="s">
        <v>271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3079779.15</v>
      </c>
      <c r="G3" s="4">
        <f>G4+G8+G12</f>
        <v>3167343.76</v>
      </c>
      <c r="H3" s="7">
        <f>SUM(I3:T3)</f>
        <v>3440545.6183999996</v>
      </c>
      <c r="I3" s="40">
        <f>I4+I8+I12</f>
        <v>591987.5</v>
      </c>
      <c r="J3" s="40">
        <f>J4+J8+J12</f>
        <v>491707.65</v>
      </c>
      <c r="K3" s="40">
        <f>K4+K8+K12</f>
        <v>413831.6</v>
      </c>
      <c r="L3" s="40">
        <f>L4+L8+L12</f>
        <v>342665.56</v>
      </c>
      <c r="M3" s="40">
        <f aca="true" t="shared" si="0" ref="M3:T3">M4+M8+M12</f>
        <v>114175.7</v>
      </c>
      <c r="N3" s="4">
        <f t="shared" si="0"/>
        <v>75436.7</v>
      </c>
      <c r="O3" s="4">
        <f t="shared" si="0"/>
        <v>69945.2504</v>
      </c>
      <c r="P3" s="4">
        <f t="shared" si="0"/>
        <v>69348.3964</v>
      </c>
      <c r="Q3" s="4">
        <f t="shared" si="0"/>
        <v>96109.55</v>
      </c>
      <c r="R3" s="4">
        <f t="shared" si="0"/>
        <v>304409.1116</v>
      </c>
      <c r="S3" s="4">
        <f t="shared" si="0"/>
        <v>356469</v>
      </c>
      <c r="T3" s="4">
        <f t="shared" si="0"/>
        <v>514459.6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3015779.15</v>
      </c>
      <c r="G4" s="4">
        <f>G5</f>
        <v>3064383.76</v>
      </c>
      <c r="H4" s="7">
        <f aca="true" t="shared" si="1" ref="H4:H62">SUM(I4:T4)</f>
        <v>2938389.2084</v>
      </c>
      <c r="I4" s="40">
        <f>I5</f>
        <v>557667.5</v>
      </c>
      <c r="J4" s="40">
        <f>J5</f>
        <v>457387.65</v>
      </c>
      <c r="K4" s="40">
        <f>K5</f>
        <v>379511.6</v>
      </c>
      <c r="L4" s="40">
        <f>L5</f>
        <v>218029.15</v>
      </c>
      <c r="M4" s="40">
        <f aca="true" t="shared" si="2" ref="M4:T4">M5</f>
        <v>79855.7</v>
      </c>
      <c r="N4" s="4">
        <f t="shared" si="2"/>
        <v>41116.7</v>
      </c>
      <c r="O4" s="4">
        <f t="shared" si="2"/>
        <v>35625.250400000004</v>
      </c>
      <c r="P4" s="4">
        <f t="shared" si="2"/>
        <v>35028.396400000005</v>
      </c>
      <c r="Q4" s="4">
        <f t="shared" si="2"/>
        <v>61789.55</v>
      </c>
      <c r="R4" s="4">
        <f t="shared" si="2"/>
        <v>270089.1116</v>
      </c>
      <c r="S4" s="4">
        <f t="shared" si="2"/>
        <v>322149</v>
      </c>
      <c r="T4" s="4">
        <f t="shared" si="2"/>
        <v>480139.6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3015779.15</v>
      </c>
      <c r="G5" s="4">
        <f>G7</f>
        <v>3064383.76</v>
      </c>
      <c r="H5" s="7">
        <f t="shared" si="1"/>
        <v>2938389.2084</v>
      </c>
      <c r="I5" s="40">
        <f>I7</f>
        <v>557667.5</v>
      </c>
      <c r="J5" s="40">
        <f>J7</f>
        <v>457387.65</v>
      </c>
      <c r="K5" s="40">
        <f>K7</f>
        <v>379511.6</v>
      </c>
      <c r="L5" s="40">
        <f>L7</f>
        <v>218029.15</v>
      </c>
      <c r="M5" s="40">
        <f aca="true" t="shared" si="3" ref="M5:T5">M7</f>
        <v>79855.7</v>
      </c>
      <c r="N5" s="4">
        <f t="shared" si="3"/>
        <v>41116.7</v>
      </c>
      <c r="O5" s="4">
        <f t="shared" si="3"/>
        <v>35625.250400000004</v>
      </c>
      <c r="P5" s="4">
        <f t="shared" si="3"/>
        <v>35028.396400000005</v>
      </c>
      <c r="Q5" s="4">
        <f t="shared" si="3"/>
        <v>61789.55</v>
      </c>
      <c r="R5" s="4">
        <f t="shared" si="3"/>
        <v>270089.1116</v>
      </c>
      <c r="S5" s="4">
        <f t="shared" si="3"/>
        <v>322149</v>
      </c>
      <c r="T5" s="4">
        <f t="shared" si="3"/>
        <v>480139.6</v>
      </c>
    </row>
    <row r="6" spans="1:20" s="11" customFormat="1" ht="11.25">
      <c r="A6" s="8"/>
      <c r="B6" s="8"/>
      <c r="C6" s="8"/>
      <c r="D6" s="8"/>
      <c r="E6" s="8" t="s">
        <v>9</v>
      </c>
      <c r="F6" s="9">
        <v>2683.2</v>
      </c>
      <c r="G6" s="9">
        <v>2719.12</v>
      </c>
      <c r="H6" s="10">
        <f t="shared" si="1"/>
        <v>2953.63</v>
      </c>
      <c r="I6" s="41">
        <f aca="true" t="shared" si="4" ref="I6:T7">I79</f>
        <v>560.56</v>
      </c>
      <c r="J6" s="41">
        <f t="shared" si="4"/>
        <v>459.76</v>
      </c>
      <c r="K6" s="41">
        <f t="shared" si="4"/>
        <v>381.48</v>
      </c>
      <c r="L6" s="41">
        <f t="shared" si="4"/>
        <v>219.16</v>
      </c>
      <c r="M6" s="41">
        <f t="shared" si="4"/>
        <v>80.27</v>
      </c>
      <c r="N6" s="9">
        <f t="shared" si="4"/>
        <v>41.33</v>
      </c>
      <c r="O6" s="9">
        <f t="shared" si="4"/>
        <v>35.81</v>
      </c>
      <c r="P6" s="9">
        <f t="shared" si="4"/>
        <v>35.21</v>
      </c>
      <c r="Q6" s="9">
        <f t="shared" si="4"/>
        <v>62.11</v>
      </c>
      <c r="R6" s="9">
        <f t="shared" si="4"/>
        <v>271.49</v>
      </c>
      <c r="S6" s="9">
        <f t="shared" si="4"/>
        <v>323.82</v>
      </c>
      <c r="T6" s="9">
        <f t="shared" si="4"/>
        <v>482.63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3015779.15</v>
      </c>
      <c r="G7" s="13">
        <v>3064383.76</v>
      </c>
      <c r="H7" s="10">
        <f t="shared" si="1"/>
        <v>2938389.2084</v>
      </c>
      <c r="I7" s="38">
        <f t="shared" si="4"/>
        <v>557667.5</v>
      </c>
      <c r="J7" s="38">
        <v>457387.65</v>
      </c>
      <c r="K7" s="38">
        <f t="shared" si="4"/>
        <v>379511.6</v>
      </c>
      <c r="L7" s="38">
        <f t="shared" si="4"/>
        <v>218029.15</v>
      </c>
      <c r="M7" s="38">
        <f t="shared" si="4"/>
        <v>79855.7</v>
      </c>
      <c r="N7" s="13">
        <f t="shared" si="4"/>
        <v>41116.7</v>
      </c>
      <c r="O7" s="13">
        <f t="shared" si="4"/>
        <v>35625.250400000004</v>
      </c>
      <c r="P7" s="13">
        <f>P80+0.08</f>
        <v>35028.396400000005</v>
      </c>
      <c r="Q7" s="13">
        <f t="shared" si="4"/>
        <v>61789.55</v>
      </c>
      <c r="R7" s="13">
        <f t="shared" si="4"/>
        <v>270089.1116</v>
      </c>
      <c r="S7" s="13">
        <f t="shared" si="4"/>
        <v>322149</v>
      </c>
      <c r="T7" s="13">
        <f t="shared" si="4"/>
        <v>480139.6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60000</v>
      </c>
      <c r="G8" s="4">
        <f>G9+G11</f>
        <v>102960</v>
      </c>
      <c r="H8" s="7">
        <f t="shared" si="1"/>
        <v>411840</v>
      </c>
      <c r="I8" s="40">
        <f>I9+I11</f>
        <v>34320</v>
      </c>
      <c r="J8" s="40">
        <f>J9+J11</f>
        <v>34320</v>
      </c>
      <c r="K8" s="40">
        <f>K9+K11</f>
        <v>34320</v>
      </c>
      <c r="L8" s="40">
        <f>L9+L11</f>
        <v>34320</v>
      </c>
      <c r="M8" s="40">
        <f aca="true" t="shared" si="5" ref="M8:T8">M9+M11</f>
        <v>34320</v>
      </c>
      <c r="N8" s="4">
        <f t="shared" si="5"/>
        <v>34320</v>
      </c>
      <c r="O8" s="4">
        <f t="shared" si="5"/>
        <v>34320</v>
      </c>
      <c r="P8" s="4">
        <f t="shared" si="5"/>
        <v>34320</v>
      </c>
      <c r="Q8" s="4">
        <f t="shared" si="5"/>
        <v>34320</v>
      </c>
      <c r="R8" s="4">
        <f t="shared" si="5"/>
        <v>34320</v>
      </c>
      <c r="S8" s="4">
        <f t="shared" si="5"/>
        <v>34320</v>
      </c>
      <c r="T8" s="4">
        <f t="shared" si="5"/>
        <v>34320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60000</v>
      </c>
      <c r="G9" s="4">
        <f>G10</f>
        <v>102960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60000</v>
      </c>
      <c r="G10" s="13">
        <v>102960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411840</v>
      </c>
      <c r="I11" s="40">
        <v>34320</v>
      </c>
      <c r="J11" s="40">
        <v>34320</v>
      </c>
      <c r="K11" s="40">
        <v>34320</v>
      </c>
      <c r="L11" s="40">
        <v>34320</v>
      </c>
      <c r="M11" s="40">
        <v>34320</v>
      </c>
      <c r="N11" s="4">
        <v>34320</v>
      </c>
      <c r="O11" s="4">
        <v>34320</v>
      </c>
      <c r="P11" s="4">
        <v>34320</v>
      </c>
      <c r="Q11" s="4">
        <v>34320</v>
      </c>
      <c r="R11" s="4">
        <v>34320</v>
      </c>
      <c r="S11" s="4">
        <v>34320</v>
      </c>
      <c r="T11" s="4">
        <v>34320</v>
      </c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4000</v>
      </c>
      <c r="G12" s="4">
        <f>G13</f>
        <v>0</v>
      </c>
      <c r="H12" s="7">
        <f t="shared" si="1"/>
        <v>90316.41</v>
      </c>
      <c r="I12" s="40">
        <f>I13+I15</f>
        <v>0</v>
      </c>
      <c r="J12" s="40">
        <f aca="true" t="shared" si="7" ref="J12:T12">J13+J15</f>
        <v>0</v>
      </c>
      <c r="K12" s="40">
        <f t="shared" si="7"/>
        <v>0</v>
      </c>
      <c r="L12" s="40">
        <f t="shared" si="7"/>
        <v>90316.41</v>
      </c>
      <c r="M12" s="40">
        <f t="shared" si="7"/>
        <v>0</v>
      </c>
      <c r="N12" s="40">
        <f t="shared" si="7"/>
        <v>0</v>
      </c>
      <c r="O12" s="40">
        <f t="shared" si="7"/>
        <v>0</v>
      </c>
      <c r="P12" s="40">
        <f t="shared" si="7"/>
        <v>0</v>
      </c>
      <c r="Q12" s="40">
        <f t="shared" si="7"/>
        <v>0</v>
      </c>
      <c r="R12" s="40">
        <f t="shared" si="7"/>
        <v>0</v>
      </c>
      <c r="S12" s="40">
        <f t="shared" si="7"/>
        <v>0</v>
      </c>
      <c r="T12" s="40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4000</v>
      </c>
      <c r="G13" s="4">
        <f>G14</f>
        <v>0</v>
      </c>
      <c r="H13" s="7">
        <f t="shared" si="1"/>
        <v>0</v>
      </c>
      <c r="I13" s="40">
        <f aca="true" t="shared" si="8" ref="I13:T13">I14</f>
        <v>0</v>
      </c>
      <c r="J13" s="40">
        <f t="shared" si="8"/>
        <v>0</v>
      </c>
      <c r="K13" s="40">
        <f t="shared" si="8"/>
        <v>0</v>
      </c>
      <c r="L13" s="40">
        <f t="shared" si="8"/>
        <v>0</v>
      </c>
      <c r="M13" s="40">
        <f t="shared" si="8"/>
        <v>0</v>
      </c>
      <c r="N13" s="4">
        <f t="shared" si="8"/>
        <v>0</v>
      </c>
      <c r="O13" s="4">
        <f t="shared" si="8"/>
        <v>0</v>
      </c>
      <c r="P13" s="4">
        <f t="shared" si="8"/>
        <v>0</v>
      </c>
      <c r="Q13" s="4">
        <f t="shared" si="8"/>
        <v>0</v>
      </c>
      <c r="R13" s="4">
        <f t="shared" si="8"/>
        <v>0</v>
      </c>
      <c r="S13" s="4">
        <f t="shared" si="8"/>
        <v>0</v>
      </c>
      <c r="T13" s="4">
        <f t="shared" si="8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4000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12">
        <v>3</v>
      </c>
      <c r="B15" s="12">
        <v>8</v>
      </c>
      <c r="C15" s="12">
        <v>2</v>
      </c>
      <c r="D15" s="12"/>
      <c r="E15" s="12" t="s">
        <v>253</v>
      </c>
      <c r="F15" s="13"/>
      <c r="G15" s="13"/>
      <c r="H15" s="10">
        <f t="shared" si="1"/>
        <v>90316.41</v>
      </c>
      <c r="I15" s="38"/>
      <c r="J15" s="38"/>
      <c r="K15" s="38"/>
      <c r="L15" s="38">
        <v>90316.41</v>
      </c>
      <c r="M15" s="38"/>
      <c r="N15" s="13"/>
      <c r="O15" s="13"/>
      <c r="P15" s="13"/>
      <c r="Q15" s="13"/>
      <c r="R15" s="13"/>
      <c r="S15" s="13"/>
      <c r="T15" s="13"/>
    </row>
    <row r="16" spans="1:20" ht="12.75">
      <c r="A16" s="12"/>
      <c r="B16" s="12"/>
      <c r="C16" s="12"/>
      <c r="D16" s="12"/>
      <c r="E16" s="12"/>
      <c r="F16" s="13"/>
      <c r="G16" s="13"/>
      <c r="H16" s="10"/>
      <c r="I16" s="38"/>
      <c r="J16" s="38"/>
      <c r="K16" s="38"/>
      <c r="L16" s="38"/>
      <c r="M16" s="38"/>
      <c r="N16" s="13"/>
      <c r="O16" s="13"/>
      <c r="P16" s="13"/>
      <c r="Q16" s="13"/>
      <c r="R16" s="13"/>
      <c r="S16" s="13"/>
      <c r="T16" s="13"/>
    </row>
    <row r="17" spans="1:20" ht="12.75">
      <c r="A17" s="6" t="s">
        <v>22</v>
      </c>
      <c r="B17" s="6" t="s">
        <v>4</v>
      </c>
      <c r="C17" s="6" t="s">
        <v>4</v>
      </c>
      <c r="D17" s="6" t="s">
        <v>4</v>
      </c>
      <c r="E17" s="6" t="s">
        <v>23</v>
      </c>
      <c r="F17" s="4">
        <f>F18</f>
        <v>0</v>
      </c>
      <c r="G17" s="4">
        <f>G18</f>
        <v>0</v>
      </c>
      <c r="H17" s="7">
        <f t="shared" si="1"/>
        <v>0</v>
      </c>
      <c r="I17" s="40">
        <f aca="true" t="shared" si="9" ref="I17:T18">I18</f>
        <v>0</v>
      </c>
      <c r="J17" s="40">
        <f t="shared" si="9"/>
        <v>0</v>
      </c>
      <c r="K17" s="40">
        <f t="shared" si="9"/>
        <v>0</v>
      </c>
      <c r="L17" s="40">
        <f t="shared" si="9"/>
        <v>0</v>
      </c>
      <c r="M17" s="40">
        <f t="shared" si="9"/>
        <v>0</v>
      </c>
      <c r="N17" s="4">
        <f t="shared" si="9"/>
        <v>0</v>
      </c>
      <c r="O17" s="4">
        <f t="shared" si="9"/>
        <v>0</v>
      </c>
      <c r="P17" s="4">
        <f t="shared" si="9"/>
        <v>0</v>
      </c>
      <c r="Q17" s="4">
        <f t="shared" si="9"/>
        <v>0</v>
      </c>
      <c r="R17" s="4">
        <f t="shared" si="9"/>
        <v>0</v>
      </c>
      <c r="S17" s="4">
        <f t="shared" si="9"/>
        <v>0</v>
      </c>
      <c r="T17" s="4">
        <f t="shared" si="9"/>
        <v>0</v>
      </c>
    </row>
    <row r="18" spans="1:20" ht="12.75">
      <c r="A18" s="6" t="s">
        <v>22</v>
      </c>
      <c r="B18" s="6" t="s">
        <v>10</v>
      </c>
      <c r="C18" s="6" t="s">
        <v>4</v>
      </c>
      <c r="D18" s="6" t="s">
        <v>4</v>
      </c>
      <c r="E18" s="6" t="s">
        <v>24</v>
      </c>
      <c r="F18" s="4">
        <f>F19</f>
        <v>0</v>
      </c>
      <c r="G18" s="4">
        <f>G19</f>
        <v>0</v>
      </c>
      <c r="H18" s="7">
        <f t="shared" si="1"/>
        <v>0</v>
      </c>
      <c r="I18" s="40">
        <f t="shared" si="9"/>
        <v>0</v>
      </c>
      <c r="J18" s="40">
        <f t="shared" si="9"/>
        <v>0</v>
      </c>
      <c r="K18" s="40">
        <f t="shared" si="9"/>
        <v>0</v>
      </c>
      <c r="L18" s="40">
        <f t="shared" si="9"/>
        <v>0</v>
      </c>
      <c r="M18" s="40">
        <f t="shared" si="9"/>
        <v>0</v>
      </c>
      <c r="N18" s="4">
        <f t="shared" si="9"/>
        <v>0</v>
      </c>
      <c r="O18" s="4">
        <f t="shared" si="9"/>
        <v>0</v>
      </c>
      <c r="P18" s="4">
        <f t="shared" si="9"/>
        <v>0</v>
      </c>
      <c r="Q18" s="4">
        <f t="shared" si="9"/>
        <v>0</v>
      </c>
      <c r="R18" s="4">
        <f t="shared" si="9"/>
        <v>0</v>
      </c>
      <c r="S18" s="4">
        <f t="shared" si="9"/>
        <v>0</v>
      </c>
      <c r="T18" s="4">
        <f t="shared" si="9"/>
        <v>0</v>
      </c>
    </row>
    <row r="19" spans="1:20" ht="12.75">
      <c r="A19" s="6" t="s">
        <v>22</v>
      </c>
      <c r="B19" s="6" t="s">
        <v>10</v>
      </c>
      <c r="C19" s="6" t="s">
        <v>6</v>
      </c>
      <c r="D19" s="6" t="s">
        <v>4</v>
      </c>
      <c r="E19" s="6" t="s">
        <v>25</v>
      </c>
      <c r="F19" s="4"/>
      <c r="G19" s="4"/>
      <c r="H19" s="7">
        <f t="shared" si="1"/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ht="12.75">
      <c r="A20" s="6" t="s">
        <v>10</v>
      </c>
      <c r="B20" s="6" t="s">
        <v>4</v>
      </c>
      <c r="C20" s="6" t="s">
        <v>4</v>
      </c>
      <c r="D20" s="6" t="s">
        <v>4</v>
      </c>
      <c r="E20" s="6" t="s">
        <v>26</v>
      </c>
      <c r="F20" s="4">
        <f>F21+F29</f>
        <v>-2994151.1199999996</v>
      </c>
      <c r="G20" s="4">
        <f>G21+G29</f>
        <v>-2460255.6399999997</v>
      </c>
      <c r="H20" s="7">
        <f t="shared" si="1"/>
        <v>-2236028.37</v>
      </c>
      <c r="I20" s="40">
        <f>I21+I29</f>
        <v>-312277.55</v>
      </c>
      <c r="J20" s="40">
        <f>J21+J29</f>
        <v>-225167.68999999997</v>
      </c>
      <c r="K20" s="40">
        <f>K21+K29</f>
        <v>-265182.33</v>
      </c>
      <c r="L20" s="40">
        <f>L21+L29</f>
        <v>-169290.94999999998</v>
      </c>
      <c r="M20" s="40">
        <f aca="true" t="shared" si="10" ref="M20:T20">M21+M29</f>
        <v>-105913.37</v>
      </c>
      <c r="N20" s="4">
        <f t="shared" si="10"/>
        <v>-111075.88</v>
      </c>
      <c r="O20" s="4">
        <f t="shared" si="10"/>
        <v>-94153.94</v>
      </c>
      <c r="P20" s="4">
        <f t="shared" si="10"/>
        <v>-94208.87</v>
      </c>
      <c r="Q20" s="4">
        <f t="shared" si="10"/>
        <v>-112759.01999999999</v>
      </c>
      <c r="R20" s="4">
        <f t="shared" si="10"/>
        <v>-197158.44999999998</v>
      </c>
      <c r="S20" s="4">
        <f t="shared" si="10"/>
        <v>-215358.41</v>
      </c>
      <c r="T20" s="4">
        <f t="shared" si="10"/>
        <v>-333481.91000000003</v>
      </c>
    </row>
    <row r="21" spans="1:20" ht="12.75">
      <c r="A21" s="6" t="s">
        <v>10</v>
      </c>
      <c r="B21" s="6" t="s">
        <v>13</v>
      </c>
      <c r="C21" s="6" t="s">
        <v>4</v>
      </c>
      <c r="D21" s="6" t="s">
        <v>4</v>
      </c>
      <c r="E21" s="6" t="s">
        <v>27</v>
      </c>
      <c r="F21" s="4">
        <f>F22+F28+F25</f>
        <v>-153687.16</v>
      </c>
      <c r="G21" s="4">
        <f>G22+G28+G25</f>
        <v>-156533.86</v>
      </c>
      <c r="H21" s="7">
        <f t="shared" si="1"/>
        <v>-272234.62</v>
      </c>
      <c r="I21" s="40">
        <f>I22+I28+I25</f>
        <v>-17008.7</v>
      </c>
      <c r="J21" s="40">
        <f>J22+J28+J25</f>
        <v>-15607.9</v>
      </c>
      <c r="K21" s="40">
        <f>K22+K28+K25</f>
        <v>-17843.6</v>
      </c>
      <c r="L21" s="40">
        <f>L22+L28+L25</f>
        <v>-14867.4</v>
      </c>
      <c r="M21" s="40">
        <f aca="true" t="shared" si="11" ref="M21:T21">M22+M28+M25</f>
        <v>-26217.3</v>
      </c>
      <c r="N21" s="4">
        <f t="shared" si="11"/>
        <v>-16544</v>
      </c>
      <c r="O21" s="4">
        <f t="shared" si="11"/>
        <v>-23032.55</v>
      </c>
      <c r="P21" s="4">
        <f t="shared" si="11"/>
        <v>-13382.12</v>
      </c>
      <c r="Q21" s="4">
        <f t="shared" si="11"/>
        <v>-19431.9</v>
      </c>
      <c r="R21" s="4">
        <f t="shared" si="11"/>
        <v>-32191.899999999998</v>
      </c>
      <c r="S21" s="4">
        <f t="shared" si="11"/>
        <v>-27865</v>
      </c>
      <c r="T21" s="4">
        <f t="shared" si="11"/>
        <v>-48242.25</v>
      </c>
    </row>
    <row r="22" spans="1:20" ht="12.75">
      <c r="A22" s="6" t="s">
        <v>10</v>
      </c>
      <c r="B22" s="6" t="s">
        <v>13</v>
      </c>
      <c r="C22" s="6" t="s">
        <v>13</v>
      </c>
      <c r="D22" s="6" t="s">
        <v>4</v>
      </c>
      <c r="E22" s="6" t="s">
        <v>28</v>
      </c>
      <c r="F22" s="4">
        <f>SUM(F23:F24)</f>
        <v>-115289.03</v>
      </c>
      <c r="G22" s="4">
        <f>SUM(G23:G24)</f>
        <v>-129182.86</v>
      </c>
      <c r="H22" s="7">
        <f t="shared" si="1"/>
        <v>-202725.62</v>
      </c>
      <c r="I22" s="40">
        <f>SUM(I23:I24)</f>
        <v>-12655.7</v>
      </c>
      <c r="J22" s="40">
        <f>SUM(J23:J24)</f>
        <v>-11613.9</v>
      </c>
      <c r="K22" s="40">
        <f>SUM(K23:K24)</f>
        <v>-13278.6</v>
      </c>
      <c r="L22" s="40">
        <f>SUM(L23:L24)</f>
        <v>-11061.4</v>
      </c>
      <c r="M22" s="40">
        <f aca="true" t="shared" si="12" ref="M22:T22">SUM(M23:M24)</f>
        <v>-19512.3</v>
      </c>
      <c r="N22" s="4">
        <f t="shared" si="12"/>
        <v>-12311</v>
      </c>
      <c r="O22" s="4">
        <f t="shared" si="12"/>
        <v>-17138.55</v>
      </c>
      <c r="P22" s="4">
        <f t="shared" si="12"/>
        <v>-9958.12</v>
      </c>
      <c r="Q22" s="4">
        <f t="shared" si="12"/>
        <v>-14457.9</v>
      </c>
      <c r="R22" s="4">
        <f t="shared" si="12"/>
        <v>-24110.899999999998</v>
      </c>
      <c r="S22" s="4">
        <f t="shared" si="12"/>
        <v>-20732</v>
      </c>
      <c r="T22" s="4">
        <f t="shared" si="12"/>
        <v>-35895.25</v>
      </c>
    </row>
    <row r="23" spans="1:20" ht="12.75">
      <c r="A23" s="12" t="s">
        <v>10</v>
      </c>
      <c r="B23" s="12" t="s">
        <v>13</v>
      </c>
      <c r="C23" s="12" t="s">
        <v>13</v>
      </c>
      <c r="D23" s="12" t="s">
        <v>6</v>
      </c>
      <c r="E23" s="12" t="s">
        <v>29</v>
      </c>
      <c r="F23" s="13">
        <v>-115289.03</v>
      </c>
      <c r="G23" s="13">
        <v>-116860.86</v>
      </c>
      <c r="H23" s="10">
        <f t="shared" si="1"/>
        <v>-200636.35</v>
      </c>
      <c r="I23" s="38">
        <v>-12655.7</v>
      </c>
      <c r="J23" s="38">
        <v>-11613.9</v>
      </c>
      <c r="K23" s="38">
        <v>-13278.6</v>
      </c>
      <c r="L23" s="38">
        <v>-11061.4</v>
      </c>
      <c r="M23" s="38">
        <v>-19512.3</v>
      </c>
      <c r="N23" s="13">
        <f>-1*N64</f>
        <v>-12311</v>
      </c>
      <c r="O23" s="13">
        <f aca="true" t="shared" si="13" ref="O23:T23">-1*O64</f>
        <v>-17138.55</v>
      </c>
      <c r="P23" s="13">
        <v>-7868.85</v>
      </c>
      <c r="Q23" s="13">
        <f t="shared" si="13"/>
        <v>-14457.9</v>
      </c>
      <c r="R23" s="13">
        <f t="shared" si="13"/>
        <v>-24110.899999999998</v>
      </c>
      <c r="S23" s="13">
        <f t="shared" si="13"/>
        <v>-20732</v>
      </c>
      <c r="T23" s="13">
        <f t="shared" si="13"/>
        <v>-35895.25</v>
      </c>
    </row>
    <row r="24" spans="1:20" ht="12.75">
      <c r="A24" s="12" t="s">
        <v>10</v>
      </c>
      <c r="B24" s="12" t="s">
        <v>13</v>
      </c>
      <c r="C24" s="12" t="s">
        <v>13</v>
      </c>
      <c r="D24" s="12" t="s">
        <v>10</v>
      </c>
      <c r="E24" s="12" t="s">
        <v>30</v>
      </c>
      <c r="F24" s="13"/>
      <c r="G24" s="13">
        <v>-12322</v>
      </c>
      <c r="H24" s="10">
        <f t="shared" si="1"/>
        <v>-2089.27</v>
      </c>
      <c r="I24" s="38"/>
      <c r="J24" s="38"/>
      <c r="K24" s="38"/>
      <c r="L24" s="38"/>
      <c r="M24" s="38"/>
      <c r="N24" s="13"/>
      <c r="O24" s="13"/>
      <c r="P24" s="13">
        <v>-2089.27</v>
      </c>
      <c r="Q24" s="13"/>
      <c r="R24" s="13"/>
      <c r="S24" s="13"/>
      <c r="T24" s="13"/>
    </row>
    <row r="25" spans="1:20" ht="12.75">
      <c r="A25" s="14">
        <v>5</v>
      </c>
      <c r="B25" s="14">
        <v>0</v>
      </c>
      <c r="C25" s="14">
        <v>5</v>
      </c>
      <c r="D25" s="14"/>
      <c r="E25" s="14" t="s">
        <v>31</v>
      </c>
      <c r="F25" s="15">
        <f>SUM(F26:F27)</f>
        <v>0</v>
      </c>
      <c r="G25" s="15">
        <f>SUM(G26:G27)</f>
        <v>0</v>
      </c>
      <c r="H25" s="7">
        <f t="shared" si="1"/>
        <v>0</v>
      </c>
      <c r="I25" s="42">
        <f>SUM(I26:I27)</f>
        <v>0</v>
      </c>
      <c r="J25" s="42">
        <f>SUM(J26:J27)</f>
        <v>0</v>
      </c>
      <c r="K25" s="42">
        <f>SUM(K26:K27)</f>
        <v>0</v>
      </c>
      <c r="L25" s="42">
        <f>SUM(L26:L27)</f>
        <v>0</v>
      </c>
      <c r="M25" s="42">
        <f aca="true" t="shared" si="14" ref="M25:T25">SUM(M26:M27)</f>
        <v>0</v>
      </c>
      <c r="N25" s="15">
        <f t="shared" si="14"/>
        <v>0</v>
      </c>
      <c r="O25" s="15">
        <f t="shared" si="14"/>
        <v>0</v>
      </c>
      <c r="P25" s="15">
        <f>SUM(P26:P27)</f>
        <v>0</v>
      </c>
      <c r="Q25" s="15">
        <f t="shared" si="14"/>
        <v>0</v>
      </c>
      <c r="R25" s="15">
        <f t="shared" si="14"/>
        <v>0</v>
      </c>
      <c r="S25" s="15">
        <f t="shared" si="14"/>
        <v>0</v>
      </c>
      <c r="T25" s="15">
        <f t="shared" si="14"/>
        <v>0</v>
      </c>
    </row>
    <row r="26" spans="1:20" ht="12.75">
      <c r="A26" s="12">
        <v>5</v>
      </c>
      <c r="B26" s="12">
        <v>0</v>
      </c>
      <c r="C26" s="12">
        <v>5</v>
      </c>
      <c r="D26" s="12">
        <v>1</v>
      </c>
      <c r="E26" s="12" t="s">
        <v>32</v>
      </c>
      <c r="F26" s="13"/>
      <c r="G26" s="13"/>
      <c r="H26" s="10">
        <f t="shared" si="1"/>
        <v>0</v>
      </c>
      <c r="I26" s="38"/>
      <c r="J26" s="38"/>
      <c r="K26" s="38"/>
      <c r="L26" s="38"/>
      <c r="M26" s="38"/>
      <c r="N26" s="13"/>
      <c r="O26" s="13"/>
      <c r="P26" s="13"/>
      <c r="Q26" s="13"/>
      <c r="R26" s="13"/>
      <c r="S26" s="13"/>
      <c r="T26" s="13"/>
    </row>
    <row r="27" spans="1:20" ht="12.75">
      <c r="A27" s="12">
        <v>5</v>
      </c>
      <c r="B27" s="12">
        <v>0</v>
      </c>
      <c r="C27" s="12">
        <v>5</v>
      </c>
      <c r="D27" s="12">
        <v>8</v>
      </c>
      <c r="E27" s="12" t="s">
        <v>33</v>
      </c>
      <c r="F27" s="13"/>
      <c r="G27" s="13"/>
      <c r="H27" s="10">
        <f t="shared" si="1"/>
        <v>0</v>
      </c>
      <c r="I27" s="38"/>
      <c r="J27" s="38"/>
      <c r="K27" s="38"/>
      <c r="L27" s="38"/>
      <c r="M27" s="38"/>
      <c r="N27" s="13"/>
      <c r="O27" s="13"/>
      <c r="P27" s="13"/>
      <c r="Q27" s="13"/>
      <c r="R27" s="13"/>
      <c r="S27" s="13"/>
      <c r="T27" s="13"/>
    </row>
    <row r="28" spans="1:20" ht="12.75">
      <c r="A28" s="6" t="s">
        <v>10</v>
      </c>
      <c r="B28" s="6" t="s">
        <v>13</v>
      </c>
      <c r="C28" s="6" t="s">
        <v>34</v>
      </c>
      <c r="D28" s="6" t="s">
        <v>4</v>
      </c>
      <c r="E28" s="6" t="s">
        <v>35</v>
      </c>
      <c r="F28" s="4">
        <v>-38398.13</v>
      </c>
      <c r="G28" s="4">
        <v>-27351</v>
      </c>
      <c r="H28" s="7">
        <f t="shared" si="1"/>
        <v>-69509</v>
      </c>
      <c r="I28" s="40">
        <v>-4353</v>
      </c>
      <c r="J28" s="40">
        <v>-3994</v>
      </c>
      <c r="K28" s="40">
        <v>-4565</v>
      </c>
      <c r="L28" s="40">
        <v>-3806</v>
      </c>
      <c r="M28" s="40">
        <v>-6705</v>
      </c>
      <c r="N28" s="4">
        <v>-4233</v>
      </c>
      <c r="O28" s="4">
        <v>-5894</v>
      </c>
      <c r="P28" s="4">
        <v>-3424</v>
      </c>
      <c r="Q28" s="4">
        <f>(Q74+Q75)*-1</f>
        <v>-4974</v>
      </c>
      <c r="R28" s="4">
        <f>(R74+R75)*-1</f>
        <v>-8081</v>
      </c>
      <c r="S28" s="4">
        <v>-7133</v>
      </c>
      <c r="T28" s="4">
        <v>-12347</v>
      </c>
    </row>
    <row r="29" spans="1:20" ht="12.75">
      <c r="A29" s="6" t="s">
        <v>10</v>
      </c>
      <c r="B29" s="6" t="s">
        <v>10</v>
      </c>
      <c r="C29" s="6" t="s">
        <v>4</v>
      </c>
      <c r="D29" s="6" t="s">
        <v>4</v>
      </c>
      <c r="E29" s="6" t="s">
        <v>36</v>
      </c>
      <c r="F29" s="4">
        <f>SUM(F30:F43)</f>
        <v>-2840463.9599999995</v>
      </c>
      <c r="G29" s="4">
        <f>SUM(G30:G43)</f>
        <v>-2303721.78</v>
      </c>
      <c r="H29" s="7">
        <f t="shared" si="1"/>
        <v>-1963793.75</v>
      </c>
      <c r="I29" s="40">
        <f>SUM(I30:I43)</f>
        <v>-295268.85</v>
      </c>
      <c r="J29" s="40">
        <f aca="true" t="shared" si="15" ref="J29:T29">SUM(J30:J43)</f>
        <v>-209559.78999999998</v>
      </c>
      <c r="K29" s="40">
        <f t="shared" si="15"/>
        <v>-247338.73</v>
      </c>
      <c r="L29" s="40">
        <f t="shared" si="15"/>
        <v>-154423.55</v>
      </c>
      <c r="M29" s="40">
        <f t="shared" si="15"/>
        <v>-79696.06999999999</v>
      </c>
      <c r="N29" s="4">
        <f t="shared" si="15"/>
        <v>-94531.88</v>
      </c>
      <c r="O29" s="4">
        <f t="shared" si="15"/>
        <v>-71121.39</v>
      </c>
      <c r="P29" s="4">
        <f t="shared" si="15"/>
        <v>-80826.75</v>
      </c>
      <c r="Q29" s="4">
        <f t="shared" si="15"/>
        <v>-93327.12</v>
      </c>
      <c r="R29" s="4">
        <f t="shared" si="15"/>
        <v>-164966.55</v>
      </c>
      <c r="S29" s="4">
        <f t="shared" si="15"/>
        <v>-187493.41</v>
      </c>
      <c r="T29" s="4">
        <f t="shared" si="15"/>
        <v>-285239.66000000003</v>
      </c>
    </row>
    <row r="30" spans="1:20" ht="12.75">
      <c r="A30" s="12" t="s">
        <v>10</v>
      </c>
      <c r="B30" s="12" t="s">
        <v>10</v>
      </c>
      <c r="C30" s="12" t="s">
        <v>13</v>
      </c>
      <c r="D30" s="12" t="s">
        <v>13</v>
      </c>
      <c r="E30" s="12" t="s">
        <v>37</v>
      </c>
      <c r="F30" s="13">
        <v>-1504.07</v>
      </c>
      <c r="G30" s="13">
        <v>-4313.92</v>
      </c>
      <c r="H30" s="10">
        <f t="shared" si="1"/>
        <v>-20489.569999999996</v>
      </c>
      <c r="I30" s="38">
        <v>-598.65</v>
      </c>
      <c r="J30" s="38">
        <v>-582.06</v>
      </c>
      <c r="K30" s="38">
        <v>-379.2</v>
      </c>
      <c r="L30" s="38">
        <v>-1145.19</v>
      </c>
      <c r="M30" s="38">
        <v>-377.82</v>
      </c>
      <c r="N30" s="13">
        <v>-108.25</v>
      </c>
      <c r="O30" s="13">
        <v>-5676.91</v>
      </c>
      <c r="P30" s="13">
        <v>-220.96</v>
      </c>
      <c r="Q30" s="13">
        <v>-215.47</v>
      </c>
      <c r="R30" s="13">
        <v>-10294.37</v>
      </c>
      <c r="S30" s="13">
        <v>-497.76</v>
      </c>
      <c r="T30" s="13">
        <v>-392.93</v>
      </c>
    </row>
    <row r="31" spans="1:20" ht="12.75">
      <c r="A31" s="12" t="s">
        <v>10</v>
      </c>
      <c r="B31" s="12" t="s">
        <v>10</v>
      </c>
      <c r="C31" s="12" t="s">
        <v>13</v>
      </c>
      <c r="D31" s="12" t="s">
        <v>22</v>
      </c>
      <c r="E31" s="12" t="s">
        <v>103</v>
      </c>
      <c r="F31" s="13">
        <v>-1952.54</v>
      </c>
      <c r="G31" s="13">
        <v>-1800</v>
      </c>
      <c r="H31" s="10">
        <f t="shared" si="1"/>
        <v>-11700</v>
      </c>
      <c r="I31" s="38"/>
      <c r="J31" s="38"/>
      <c r="K31" s="38"/>
      <c r="L31" s="38"/>
      <c r="M31" s="38"/>
      <c r="N31" s="13"/>
      <c r="O31" s="13"/>
      <c r="P31" s="13"/>
      <c r="Q31" s="13">
        <v>-5625</v>
      </c>
      <c r="R31" s="13">
        <v>-6075</v>
      </c>
      <c r="S31" s="13"/>
      <c r="T31" s="13"/>
    </row>
    <row r="32" spans="1:20" ht="12.75">
      <c r="A32" s="12" t="s">
        <v>10</v>
      </c>
      <c r="B32" s="12" t="s">
        <v>10</v>
      </c>
      <c r="C32" s="12" t="s">
        <v>16</v>
      </c>
      <c r="D32" s="12" t="s">
        <v>16</v>
      </c>
      <c r="E32" s="12" t="s">
        <v>38</v>
      </c>
      <c r="F32" s="13">
        <v>-3645</v>
      </c>
      <c r="G32" s="13">
        <v>-22891.01</v>
      </c>
      <c r="H32" s="10">
        <f t="shared" si="1"/>
        <v>-12443.060000000001</v>
      </c>
      <c r="I32" s="38">
        <v>-149.62</v>
      </c>
      <c r="J32" s="38">
        <v>-208.84</v>
      </c>
      <c r="K32" s="38">
        <v>-552.65</v>
      </c>
      <c r="L32" s="38">
        <v>-484.79</v>
      </c>
      <c r="M32" s="38">
        <v>-578.79</v>
      </c>
      <c r="N32" s="13">
        <v>-483.21</v>
      </c>
      <c r="O32" s="13">
        <v>-411.96</v>
      </c>
      <c r="P32" s="13">
        <v>-1097.98</v>
      </c>
      <c r="Q32" s="13">
        <v>-7044.26</v>
      </c>
      <c r="R32" s="13">
        <v>-536.63</v>
      </c>
      <c r="S32" s="13">
        <v>-478.04</v>
      </c>
      <c r="T32" s="13">
        <v>-416.29</v>
      </c>
    </row>
    <row r="33" spans="1:20" ht="12.75">
      <c r="A33" s="12" t="s">
        <v>10</v>
      </c>
      <c r="B33" s="12" t="s">
        <v>10</v>
      </c>
      <c r="C33" s="12" t="s">
        <v>16</v>
      </c>
      <c r="D33" s="12" t="s">
        <v>6</v>
      </c>
      <c r="E33" s="12" t="s">
        <v>39</v>
      </c>
      <c r="F33" s="13">
        <v>-166741.15</v>
      </c>
      <c r="G33" s="13">
        <v>-254903.57</v>
      </c>
      <c r="H33" s="10">
        <f t="shared" si="1"/>
        <v>-271890.33</v>
      </c>
      <c r="I33" s="38">
        <v>-32979.65</v>
      </c>
      <c r="J33" s="38">
        <v>-28740.57</v>
      </c>
      <c r="K33" s="38">
        <v>-25640.48</v>
      </c>
      <c r="L33" s="38">
        <v>-30145.16</v>
      </c>
      <c r="M33" s="38">
        <v>-18400.78</v>
      </c>
      <c r="N33" s="13">
        <v>-15218.88</v>
      </c>
      <c r="O33" s="13">
        <v>-22854.76</v>
      </c>
      <c r="P33" s="13">
        <v>-16038.87</v>
      </c>
      <c r="Q33" s="13">
        <v>-14227.72</v>
      </c>
      <c r="R33" s="13">
        <v>-19971.72</v>
      </c>
      <c r="S33" s="13">
        <v>-21461.21</v>
      </c>
      <c r="T33" s="13">
        <v>-26210.53</v>
      </c>
    </row>
    <row r="34" spans="1:20" ht="12.75">
      <c r="A34" s="12" t="s">
        <v>10</v>
      </c>
      <c r="B34" s="12" t="s">
        <v>10</v>
      </c>
      <c r="C34" s="12" t="s">
        <v>16</v>
      </c>
      <c r="D34" s="12" t="s">
        <v>3</v>
      </c>
      <c r="E34" s="12" t="s">
        <v>40</v>
      </c>
      <c r="F34" s="13">
        <v>-41864.63</v>
      </c>
      <c r="G34" s="13">
        <v>-31748.68</v>
      </c>
      <c r="H34" s="10">
        <f t="shared" si="1"/>
        <v>-33462.74</v>
      </c>
      <c r="I34" s="38">
        <v>-2852.21</v>
      </c>
      <c r="J34" s="38">
        <v>-2732.56</v>
      </c>
      <c r="K34" s="38">
        <v>-3447.53</v>
      </c>
      <c r="L34" s="38">
        <v>-983.74</v>
      </c>
      <c r="M34" s="38">
        <v>-2313.87</v>
      </c>
      <c r="N34" s="13">
        <v>-5853.29</v>
      </c>
      <c r="O34" s="13">
        <v>-1534.83</v>
      </c>
      <c r="P34" s="13">
        <v>-956.03</v>
      </c>
      <c r="Q34" s="13">
        <v>-4259.75</v>
      </c>
      <c r="R34" s="13">
        <v>-2424.42</v>
      </c>
      <c r="S34" s="13">
        <v>-2578.31</v>
      </c>
      <c r="T34" s="13">
        <v>-3526.2</v>
      </c>
    </row>
    <row r="35" spans="1:20" ht="12.75">
      <c r="A35" s="12" t="s">
        <v>10</v>
      </c>
      <c r="B35" s="12" t="s">
        <v>10</v>
      </c>
      <c r="C35" s="12" t="s">
        <v>16</v>
      </c>
      <c r="D35" s="12" t="s">
        <v>22</v>
      </c>
      <c r="E35" s="12" t="s">
        <v>41</v>
      </c>
      <c r="F35" s="13"/>
      <c r="G35" s="13"/>
      <c r="H35" s="10">
        <f t="shared" si="1"/>
        <v>0</v>
      </c>
      <c r="I35" s="38"/>
      <c r="J35" s="38"/>
      <c r="K35" s="38"/>
      <c r="L35" s="38"/>
      <c r="M35" s="38"/>
      <c r="N35" s="13"/>
      <c r="O35" s="13"/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16</v>
      </c>
      <c r="D36" s="12" t="s">
        <v>10</v>
      </c>
      <c r="E36" s="12" t="s">
        <v>42</v>
      </c>
      <c r="F36" s="13">
        <v>-193.22</v>
      </c>
      <c r="G36" s="13">
        <v>-36910.36</v>
      </c>
      <c r="H36" s="10">
        <f t="shared" si="1"/>
        <v>-1790</v>
      </c>
      <c r="I36" s="38">
        <v>-500</v>
      </c>
      <c r="J36" s="38">
        <v>-728.34</v>
      </c>
      <c r="K36" s="38">
        <v>-390.83</v>
      </c>
      <c r="L36" s="38"/>
      <c r="M36" s="38"/>
      <c r="N36" s="13">
        <v>0</v>
      </c>
      <c r="O36" s="13"/>
      <c r="P36" s="13">
        <v>0</v>
      </c>
      <c r="Q36" s="13">
        <v>0</v>
      </c>
      <c r="R36" s="13"/>
      <c r="S36" s="13">
        <v>-170.83</v>
      </c>
      <c r="T36" s="13"/>
    </row>
    <row r="37" spans="1:20" ht="12.75">
      <c r="A37" s="12" t="s">
        <v>10</v>
      </c>
      <c r="B37" s="12" t="s">
        <v>10</v>
      </c>
      <c r="C37" s="12" t="s">
        <v>16</v>
      </c>
      <c r="D37" s="12" t="s">
        <v>34</v>
      </c>
      <c r="E37" s="12" t="s">
        <v>43</v>
      </c>
      <c r="F37" s="13">
        <v>-29745</v>
      </c>
      <c r="G37" s="13">
        <v>-49439.02</v>
      </c>
      <c r="H37" s="10">
        <f t="shared" si="1"/>
        <v>-77688.01</v>
      </c>
      <c r="I37" s="38">
        <v>-8500</v>
      </c>
      <c r="J37" s="38">
        <v>-6500</v>
      </c>
      <c r="K37" s="38">
        <v>-5466.67</v>
      </c>
      <c r="L37" s="38">
        <v>-5300.42</v>
      </c>
      <c r="M37" s="38">
        <v>-2000</v>
      </c>
      <c r="N37" s="13">
        <v>-18705</v>
      </c>
      <c r="O37" s="13">
        <v>-2315</v>
      </c>
      <c r="P37" s="13">
        <v>-6500</v>
      </c>
      <c r="Q37" s="13">
        <v>-2000</v>
      </c>
      <c r="R37" s="13">
        <v>-6500</v>
      </c>
      <c r="S37" s="13">
        <v>-6850</v>
      </c>
      <c r="T37" s="13">
        <v>-7050.92</v>
      </c>
    </row>
    <row r="38" spans="1:20" ht="12.75">
      <c r="A38" s="12" t="s">
        <v>10</v>
      </c>
      <c r="B38" s="12" t="s">
        <v>10</v>
      </c>
      <c r="C38" s="12" t="s">
        <v>6</v>
      </c>
      <c r="D38" s="12" t="s">
        <v>6</v>
      </c>
      <c r="E38" s="12" t="s">
        <v>44</v>
      </c>
      <c r="F38" s="13">
        <v>0</v>
      </c>
      <c r="G38" s="13"/>
      <c r="H38" s="10">
        <f t="shared" si="1"/>
        <v>0</v>
      </c>
      <c r="I38" s="38"/>
      <c r="J38" s="38"/>
      <c r="K38" s="38"/>
      <c r="L38" s="38"/>
      <c r="M38" s="38"/>
      <c r="N38" s="13"/>
      <c r="O38" s="13"/>
      <c r="P38" s="13"/>
      <c r="Q38" s="13"/>
      <c r="R38" s="13"/>
      <c r="S38" s="13"/>
      <c r="T38" s="13"/>
    </row>
    <row r="39" spans="1:20" ht="12.75">
      <c r="A39" s="12">
        <v>5</v>
      </c>
      <c r="B39" s="12">
        <v>5</v>
      </c>
      <c r="C39" s="12">
        <v>2</v>
      </c>
      <c r="D39" s="12">
        <v>5</v>
      </c>
      <c r="E39" s="12" t="s">
        <v>45</v>
      </c>
      <c r="F39" s="13"/>
      <c r="G39" s="13">
        <v>-877.5</v>
      </c>
      <c r="H39" s="10">
        <f t="shared" si="1"/>
        <v>0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/>
      <c r="T39" s="13"/>
    </row>
    <row r="40" spans="1:20" ht="12.75">
      <c r="A40" s="12" t="s">
        <v>10</v>
      </c>
      <c r="B40" s="12" t="s">
        <v>10</v>
      </c>
      <c r="C40" s="12" t="s">
        <v>6</v>
      </c>
      <c r="D40" s="12" t="s">
        <v>46</v>
      </c>
      <c r="E40" s="12" t="s">
        <v>47</v>
      </c>
      <c r="F40" s="13">
        <v>-2584236.19</v>
      </c>
      <c r="G40" s="13">
        <v>-1894053.76</v>
      </c>
      <c r="H40" s="10">
        <f t="shared" si="1"/>
        <v>-1516614.9500000002</v>
      </c>
      <c r="I40" s="38">
        <v>-249539.84</v>
      </c>
      <c r="J40" s="38">
        <v>-170004.05</v>
      </c>
      <c r="K40" s="38">
        <v>-207914.45</v>
      </c>
      <c r="L40" s="38">
        <v>-114755.04</v>
      </c>
      <c r="M40" s="38">
        <v>-52689.39</v>
      </c>
      <c r="N40" s="13">
        <v>-47650.03</v>
      </c>
      <c r="O40" s="13">
        <v>-38327.93</v>
      </c>
      <c r="P40" s="13">
        <v>-55887.02</v>
      </c>
      <c r="Q40" s="13">
        <v>-59909.11</v>
      </c>
      <c r="R40" s="13">
        <v>-119164.41</v>
      </c>
      <c r="S40" s="13">
        <v>-153886.64</v>
      </c>
      <c r="T40" s="13">
        <v>-246887.04</v>
      </c>
    </row>
    <row r="41" spans="1:20" ht="12.75">
      <c r="A41" s="12" t="s">
        <v>10</v>
      </c>
      <c r="B41" s="12" t="s">
        <v>10</v>
      </c>
      <c r="C41" s="12" t="s">
        <v>3</v>
      </c>
      <c r="D41" s="12" t="s">
        <v>6</v>
      </c>
      <c r="E41" s="12" t="s">
        <v>48</v>
      </c>
      <c r="F41" s="13">
        <v>-750.76</v>
      </c>
      <c r="G41" s="13">
        <v>-212.32</v>
      </c>
      <c r="H41" s="10">
        <f t="shared" si="1"/>
        <v>-4595.09</v>
      </c>
      <c r="I41" s="38">
        <v>-148.88</v>
      </c>
      <c r="J41" s="38">
        <v>-63.37</v>
      </c>
      <c r="K41" s="38">
        <v>-106.92</v>
      </c>
      <c r="L41" s="38">
        <v>-1609.21</v>
      </c>
      <c r="M41" s="38">
        <v>-55.42</v>
      </c>
      <c r="N41" s="13">
        <v>-113.22</v>
      </c>
      <c r="O41" s="13"/>
      <c r="P41" s="13">
        <v>-125.89</v>
      </c>
      <c r="Q41" s="13">
        <v>-45.81</v>
      </c>
      <c r="R41" s="13"/>
      <c r="S41" s="13">
        <v>-1570.62</v>
      </c>
      <c r="T41" s="13">
        <v>-755.75</v>
      </c>
    </row>
    <row r="42" spans="1:20" ht="12.75">
      <c r="A42" s="12" t="s">
        <v>10</v>
      </c>
      <c r="B42" s="12" t="s">
        <v>10</v>
      </c>
      <c r="C42" s="12" t="s">
        <v>3</v>
      </c>
      <c r="D42" s="12" t="s">
        <v>46</v>
      </c>
      <c r="E42" s="12" t="s">
        <v>49</v>
      </c>
      <c r="F42" s="13">
        <v>-9831.4</v>
      </c>
      <c r="G42" s="13">
        <v>-6571.64</v>
      </c>
      <c r="H42" s="10">
        <f t="shared" si="1"/>
        <v>-10320</v>
      </c>
      <c r="I42" s="38"/>
      <c r="J42" s="38"/>
      <c r="K42" s="38">
        <v>-3440</v>
      </c>
      <c r="L42" s="38"/>
      <c r="M42" s="38">
        <v>-480</v>
      </c>
      <c r="N42" s="13">
        <v>-6400</v>
      </c>
      <c r="O42" s="13">
        <v>0</v>
      </c>
      <c r="P42" s="13">
        <v>0</v>
      </c>
      <c r="Q42" s="13"/>
      <c r="R42" s="13"/>
      <c r="S42" s="13"/>
      <c r="T42" s="13">
        <v>0</v>
      </c>
    </row>
    <row r="43" spans="1:20" ht="12.75">
      <c r="A43" s="12">
        <v>5</v>
      </c>
      <c r="B43" s="12">
        <v>5</v>
      </c>
      <c r="C43" s="12">
        <v>4</v>
      </c>
      <c r="D43" s="12">
        <v>0</v>
      </c>
      <c r="E43" s="12" t="s">
        <v>106</v>
      </c>
      <c r="F43" s="13"/>
      <c r="G43" s="13"/>
      <c r="H43" s="10">
        <f t="shared" si="1"/>
        <v>-2800</v>
      </c>
      <c r="I43" s="38"/>
      <c r="J43" s="38"/>
      <c r="K43" s="38"/>
      <c r="L43" s="38"/>
      <c r="M43" s="38">
        <v>-2800</v>
      </c>
      <c r="N43" s="13"/>
      <c r="O43" s="13"/>
      <c r="P43" s="13"/>
      <c r="Q43" s="13"/>
      <c r="R43" s="13"/>
      <c r="S43" s="13"/>
      <c r="T43" s="13"/>
    </row>
    <row r="44" spans="1:20" ht="12.75">
      <c r="A44" s="6" t="s">
        <v>34</v>
      </c>
      <c r="B44" s="6" t="s">
        <v>4</v>
      </c>
      <c r="C44" s="6" t="s">
        <v>4</v>
      </c>
      <c r="D44" s="6" t="s">
        <v>4</v>
      </c>
      <c r="E44" s="6" t="s">
        <v>50</v>
      </c>
      <c r="F44" s="4">
        <f>F45+F50+F57+F60</f>
        <v>-198667</v>
      </c>
      <c r="G44" s="4">
        <f>G45+G50+G57+G60</f>
        <v>-413137.47</v>
      </c>
      <c r="H44" s="4">
        <f t="shared" si="1"/>
        <v>-744939.8799999999</v>
      </c>
      <c r="I44" s="40">
        <f aca="true" t="shared" si="16" ref="I44:T44">I45+I50+I57+I60</f>
        <v>-60412.43</v>
      </c>
      <c r="J44" s="40">
        <f t="shared" si="16"/>
        <v>-61840.68</v>
      </c>
      <c r="K44" s="40">
        <f t="shared" si="16"/>
        <v>-59530.24</v>
      </c>
      <c r="L44" s="40">
        <f t="shared" si="16"/>
        <v>-61077.82</v>
      </c>
      <c r="M44" s="40">
        <f t="shared" si="16"/>
        <v>-61549.97</v>
      </c>
      <c r="N44" s="4">
        <f t="shared" si="16"/>
        <v>-60921.72</v>
      </c>
      <c r="O44" s="4">
        <f t="shared" si="16"/>
        <v>-60703.45</v>
      </c>
      <c r="P44" s="4">
        <f t="shared" si="16"/>
        <v>-60789.86</v>
      </c>
      <c r="Q44" s="4">
        <f t="shared" si="16"/>
        <v>-61021.4</v>
      </c>
      <c r="R44" s="4">
        <f>R45+R50+R57+R60</f>
        <v>-62159.479999999996</v>
      </c>
      <c r="S44" s="4">
        <f t="shared" si="16"/>
        <v>-61567.36</v>
      </c>
      <c r="T44" s="4">
        <f t="shared" si="16"/>
        <v>-73365.47</v>
      </c>
    </row>
    <row r="45" spans="1:20" ht="12.75">
      <c r="A45" s="6" t="s">
        <v>34</v>
      </c>
      <c r="B45" s="6" t="s">
        <v>13</v>
      </c>
      <c r="C45" s="6" t="s">
        <v>4</v>
      </c>
      <c r="D45" s="6" t="s">
        <v>4</v>
      </c>
      <c r="E45" s="6" t="s">
        <v>51</v>
      </c>
      <c r="F45" s="4">
        <f>F46+F48+F49</f>
        <v>-19224</v>
      </c>
      <c r="G45" s="4">
        <f>G46+G48+G49</f>
        <v>-48386.88</v>
      </c>
      <c r="H45" s="7">
        <f t="shared" si="1"/>
        <v>-15621.34</v>
      </c>
      <c r="I45" s="40">
        <f aca="true" t="shared" si="17" ref="I45:T45">I46+I48+I49</f>
        <v>0</v>
      </c>
      <c r="J45" s="40">
        <f t="shared" si="17"/>
        <v>-1416</v>
      </c>
      <c r="K45" s="40">
        <f t="shared" si="17"/>
        <v>0</v>
      </c>
      <c r="L45" s="40">
        <f t="shared" si="17"/>
        <v>0</v>
      </c>
      <c r="M45" s="40">
        <f t="shared" si="17"/>
        <v>0</v>
      </c>
      <c r="N45" s="4">
        <f t="shared" si="17"/>
        <v>0</v>
      </c>
      <c r="O45" s="4">
        <f t="shared" si="17"/>
        <v>0</v>
      </c>
      <c r="P45" s="4">
        <f t="shared" si="17"/>
        <v>0</v>
      </c>
      <c r="Q45" s="4">
        <f t="shared" si="17"/>
        <v>0</v>
      </c>
      <c r="R45" s="4">
        <f t="shared" si="17"/>
        <v>-1415</v>
      </c>
      <c r="S45" s="4">
        <f t="shared" si="17"/>
        <v>0</v>
      </c>
      <c r="T45" s="4">
        <f t="shared" si="17"/>
        <v>-12790.34</v>
      </c>
    </row>
    <row r="46" spans="1:20" ht="12.75">
      <c r="A46" s="6" t="s">
        <v>34</v>
      </c>
      <c r="B46" s="6" t="s">
        <v>13</v>
      </c>
      <c r="C46" s="6" t="s">
        <v>16</v>
      </c>
      <c r="D46" s="6" t="s">
        <v>4</v>
      </c>
      <c r="E46" s="6" t="s">
        <v>52</v>
      </c>
      <c r="F46" s="4">
        <f>F47</f>
        <v>-19224</v>
      </c>
      <c r="G46" s="4">
        <f>G47</f>
        <v>-48386.88</v>
      </c>
      <c r="H46" s="7">
        <f t="shared" si="1"/>
        <v>-15008</v>
      </c>
      <c r="I46" s="40">
        <f>I47</f>
        <v>0</v>
      </c>
      <c r="J46" s="40">
        <f>J47</f>
        <v>-1416</v>
      </c>
      <c r="K46" s="40">
        <f>K47</f>
        <v>0</v>
      </c>
      <c r="L46" s="40">
        <f>L47</f>
        <v>0</v>
      </c>
      <c r="M46" s="40">
        <f aca="true" t="shared" si="18" ref="M46:T46">M47</f>
        <v>0</v>
      </c>
      <c r="N46" s="4">
        <f t="shared" si="18"/>
        <v>0</v>
      </c>
      <c r="O46" s="4">
        <f t="shared" si="18"/>
        <v>0</v>
      </c>
      <c r="P46" s="4">
        <f t="shared" si="18"/>
        <v>0</v>
      </c>
      <c r="Q46" s="4">
        <f t="shared" si="18"/>
        <v>0</v>
      </c>
      <c r="R46" s="4">
        <f t="shared" si="18"/>
        <v>-1415</v>
      </c>
      <c r="S46" s="4">
        <f t="shared" si="18"/>
        <v>0</v>
      </c>
      <c r="T46" s="4">
        <f t="shared" si="18"/>
        <v>-12177</v>
      </c>
    </row>
    <row r="47" spans="1:20" ht="12.75">
      <c r="A47" s="12" t="s">
        <v>34</v>
      </c>
      <c r="B47" s="12" t="s">
        <v>13</v>
      </c>
      <c r="C47" s="12" t="s">
        <v>16</v>
      </c>
      <c r="D47" s="12" t="s">
        <v>13</v>
      </c>
      <c r="E47" s="12" t="s">
        <v>53</v>
      </c>
      <c r="F47" s="13">
        <v>-19224</v>
      </c>
      <c r="G47" s="13">
        <v>-48386.88</v>
      </c>
      <c r="H47" s="10">
        <f t="shared" si="1"/>
        <v>-15008</v>
      </c>
      <c r="I47" s="38"/>
      <c r="J47" s="38">
        <v>-1416</v>
      </c>
      <c r="K47" s="38"/>
      <c r="L47" s="38"/>
      <c r="M47" s="38"/>
      <c r="N47" s="13"/>
      <c r="O47" s="13"/>
      <c r="P47" s="13"/>
      <c r="Q47" s="13"/>
      <c r="R47" s="13">
        <v>-1415</v>
      </c>
      <c r="S47" s="13"/>
      <c r="T47" s="13">
        <v>-12177</v>
      </c>
    </row>
    <row r="48" spans="1:20" ht="12.75">
      <c r="A48" s="14" t="s">
        <v>34</v>
      </c>
      <c r="B48" s="14" t="s">
        <v>13</v>
      </c>
      <c r="C48" s="14">
        <v>5</v>
      </c>
      <c r="D48" s="14"/>
      <c r="E48" s="14" t="s">
        <v>54</v>
      </c>
      <c r="F48" s="15">
        <v>0</v>
      </c>
      <c r="G48" s="15">
        <v>0</v>
      </c>
      <c r="H48" s="7">
        <f t="shared" si="1"/>
        <v>0</v>
      </c>
      <c r="I48" s="42"/>
      <c r="J48" s="42"/>
      <c r="K48" s="42"/>
      <c r="L48" s="42"/>
      <c r="M48" s="42"/>
      <c r="N48" s="15"/>
      <c r="O48" s="15"/>
      <c r="P48" s="15"/>
      <c r="Q48" s="15"/>
      <c r="R48" s="15"/>
      <c r="S48" s="15"/>
      <c r="T48" s="15"/>
    </row>
    <row r="49" spans="1:20" ht="12.75">
      <c r="A49" s="14">
        <v>6</v>
      </c>
      <c r="B49" s="14">
        <v>0</v>
      </c>
      <c r="C49" s="14">
        <v>8</v>
      </c>
      <c r="D49" s="14"/>
      <c r="E49" s="14" t="s">
        <v>105</v>
      </c>
      <c r="F49" s="15"/>
      <c r="G49" s="15"/>
      <c r="H49" s="7">
        <f t="shared" si="1"/>
        <v>-613.34</v>
      </c>
      <c r="I49" s="42"/>
      <c r="J49" s="42"/>
      <c r="K49" s="42"/>
      <c r="L49" s="42"/>
      <c r="M49" s="42"/>
      <c r="N49" s="15"/>
      <c r="O49" s="15"/>
      <c r="P49" s="15"/>
      <c r="Q49" s="15"/>
      <c r="R49" s="15"/>
      <c r="S49" s="15"/>
      <c r="T49" s="15">
        <v>-613.34</v>
      </c>
    </row>
    <row r="50" spans="1:20" ht="12.75">
      <c r="A50" s="6" t="s">
        <v>34</v>
      </c>
      <c r="B50" s="6" t="s">
        <v>16</v>
      </c>
      <c r="C50" s="6" t="s">
        <v>4</v>
      </c>
      <c r="D50" s="6" t="s">
        <v>4</v>
      </c>
      <c r="E50" s="6" t="s">
        <v>55</v>
      </c>
      <c r="F50" s="4">
        <f>F56+F51</f>
        <v>-179443</v>
      </c>
      <c r="G50" s="4">
        <f>G56+G51</f>
        <v>-291452.62</v>
      </c>
      <c r="H50" s="7">
        <f t="shared" si="1"/>
        <v>-660230</v>
      </c>
      <c r="I50" s="40">
        <f>I56+I51</f>
        <v>-54257</v>
      </c>
      <c r="J50" s="40">
        <f>J56+J51</f>
        <v>-54349</v>
      </c>
      <c r="K50" s="40">
        <f>K56+K51</f>
        <v>-54354</v>
      </c>
      <c r="L50" s="40">
        <f>L56+L51</f>
        <v>-55248</v>
      </c>
      <c r="M50" s="40">
        <f aca="true" t="shared" si="19" ref="M50:T50">M56+M51</f>
        <v>-55254</v>
      </c>
      <c r="N50" s="4">
        <f t="shared" si="19"/>
        <v>-55256</v>
      </c>
      <c r="O50" s="4">
        <f t="shared" si="19"/>
        <v>-55250</v>
      </c>
      <c r="P50" s="4">
        <f t="shared" si="19"/>
        <v>-55250</v>
      </c>
      <c r="Q50" s="4">
        <f t="shared" si="19"/>
        <v>-55258</v>
      </c>
      <c r="R50" s="4">
        <f t="shared" si="19"/>
        <v>-55249</v>
      </c>
      <c r="S50" s="4">
        <f t="shared" si="19"/>
        <v>-55252</v>
      </c>
      <c r="T50" s="4">
        <f t="shared" si="19"/>
        <v>-55253</v>
      </c>
    </row>
    <row r="51" spans="1:20" ht="12.75">
      <c r="A51" s="6" t="s">
        <v>34</v>
      </c>
      <c r="B51" s="6" t="s">
        <v>16</v>
      </c>
      <c r="C51" s="6" t="s">
        <v>16</v>
      </c>
      <c r="D51" s="6" t="s">
        <v>4</v>
      </c>
      <c r="E51" s="6" t="s">
        <v>56</v>
      </c>
      <c r="F51" s="4">
        <f>SUM(F52:F55)</f>
        <v>-178043</v>
      </c>
      <c r="G51" s="4">
        <f>SUM(G52:G55)</f>
        <v>-291452.62</v>
      </c>
      <c r="H51" s="7">
        <f t="shared" si="1"/>
        <v>-660230</v>
      </c>
      <c r="I51" s="40">
        <f>SUM(I52:I55)</f>
        <v>-54257</v>
      </c>
      <c r="J51" s="40">
        <f>SUM(J52:J55)</f>
        <v>-54349</v>
      </c>
      <c r="K51" s="40">
        <f>SUM(K52:K55)</f>
        <v>-54354</v>
      </c>
      <c r="L51" s="40">
        <f>SUM(L52:L55)</f>
        <v>-55248</v>
      </c>
      <c r="M51" s="40">
        <f aca="true" t="shared" si="20" ref="M51:T51">SUM(M52:M55)</f>
        <v>-55254</v>
      </c>
      <c r="N51" s="4">
        <f t="shared" si="20"/>
        <v>-55256</v>
      </c>
      <c r="O51" s="4">
        <f t="shared" si="20"/>
        <v>-55250</v>
      </c>
      <c r="P51" s="4">
        <f t="shared" si="20"/>
        <v>-55250</v>
      </c>
      <c r="Q51" s="4">
        <f t="shared" si="20"/>
        <v>-55258</v>
      </c>
      <c r="R51" s="4">
        <f t="shared" si="20"/>
        <v>-55249</v>
      </c>
      <c r="S51" s="4">
        <f t="shared" si="20"/>
        <v>-55252</v>
      </c>
      <c r="T51" s="4">
        <f t="shared" si="20"/>
        <v>-55253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13</v>
      </c>
      <c r="E52" s="12" t="s">
        <v>57</v>
      </c>
      <c r="F52" s="13">
        <v>-69387</v>
      </c>
      <c r="G52" s="13">
        <v>-131862</v>
      </c>
      <c r="H52" s="10">
        <f t="shared" si="1"/>
        <v>-319282</v>
      </c>
      <c r="I52" s="38">
        <v>-26609</v>
      </c>
      <c r="J52" s="38">
        <v>-26606</v>
      </c>
      <c r="K52" s="38">
        <v>-26607</v>
      </c>
      <c r="L52" s="38">
        <v>-26606</v>
      </c>
      <c r="M52" s="38">
        <v>-26606</v>
      </c>
      <c r="N52" s="13">
        <v>-26611</v>
      </c>
      <c r="O52" s="13">
        <v>-26603</v>
      </c>
      <c r="P52" s="13">
        <v>-26606</v>
      </c>
      <c r="Q52" s="13">
        <v>-26608</v>
      </c>
      <c r="R52" s="13">
        <v>-26608</v>
      </c>
      <c r="S52" s="13">
        <v>-26603</v>
      </c>
      <c r="T52" s="13">
        <v>-26609</v>
      </c>
    </row>
    <row r="53" spans="1:20" ht="12.75">
      <c r="A53" s="12" t="s">
        <v>34</v>
      </c>
      <c r="B53" s="12" t="s">
        <v>16</v>
      </c>
      <c r="C53" s="12" t="s">
        <v>16</v>
      </c>
      <c r="D53" s="12" t="s">
        <v>22</v>
      </c>
      <c r="E53" s="12" t="s">
        <v>58</v>
      </c>
      <c r="F53" s="13">
        <v>-108656</v>
      </c>
      <c r="G53" s="13">
        <v>-156022.62</v>
      </c>
      <c r="H53" s="10">
        <f t="shared" si="1"/>
        <v>-326682</v>
      </c>
      <c r="I53" s="38">
        <v>-26458</v>
      </c>
      <c r="J53" s="38">
        <v>-26555</v>
      </c>
      <c r="K53" s="38">
        <v>-26557</v>
      </c>
      <c r="L53" s="38">
        <v>-27455</v>
      </c>
      <c r="M53" s="38">
        <v>-27458</v>
      </c>
      <c r="N53" s="13">
        <v>-27457</v>
      </c>
      <c r="O53" s="13">
        <v>-27457</v>
      </c>
      <c r="P53" s="13">
        <v>-27456</v>
      </c>
      <c r="Q53" s="13">
        <v>-27460</v>
      </c>
      <c r="R53" s="13">
        <v>-27454</v>
      </c>
      <c r="S53" s="13">
        <v>-27459</v>
      </c>
      <c r="T53" s="13">
        <v>-27456</v>
      </c>
    </row>
    <row r="54" spans="1:20" ht="12.75">
      <c r="A54" s="12" t="s">
        <v>34</v>
      </c>
      <c r="B54" s="12" t="s">
        <v>16</v>
      </c>
      <c r="C54" s="12" t="s">
        <v>16</v>
      </c>
      <c r="D54" s="12" t="s">
        <v>10</v>
      </c>
      <c r="E54" s="12" t="s">
        <v>59</v>
      </c>
      <c r="F54" s="13"/>
      <c r="G54" s="13"/>
      <c r="H54" s="10">
        <f t="shared" si="1"/>
        <v>0</v>
      </c>
      <c r="I54" s="38"/>
      <c r="J54" s="38"/>
      <c r="K54" s="38"/>
      <c r="L54" s="38"/>
      <c r="M54" s="38"/>
      <c r="N54" s="13"/>
      <c r="O54" s="13"/>
      <c r="P54" s="13"/>
      <c r="Q54" s="13"/>
      <c r="R54" s="13"/>
      <c r="S54" s="13"/>
      <c r="T54" s="13"/>
    </row>
    <row r="55" spans="1:20" ht="12.75">
      <c r="A55" s="12">
        <v>6</v>
      </c>
      <c r="B55" s="12">
        <v>1</v>
      </c>
      <c r="C55" s="12">
        <v>1</v>
      </c>
      <c r="D55" s="12">
        <v>6</v>
      </c>
      <c r="E55" s="12" t="s">
        <v>60</v>
      </c>
      <c r="F55" s="13"/>
      <c r="G55" s="13">
        <v>-3568</v>
      </c>
      <c r="H55" s="10">
        <f t="shared" si="1"/>
        <v>-14266</v>
      </c>
      <c r="I55" s="38">
        <v>-1190</v>
      </c>
      <c r="J55" s="38">
        <v>-1188</v>
      </c>
      <c r="K55" s="38">
        <v>-1190</v>
      </c>
      <c r="L55" s="38">
        <v>-1187</v>
      </c>
      <c r="M55" s="38">
        <v>-1190</v>
      </c>
      <c r="N55" s="13">
        <v>-1188</v>
      </c>
      <c r="O55" s="13">
        <v>-1190</v>
      </c>
      <c r="P55" s="13">
        <v>-1188</v>
      </c>
      <c r="Q55" s="13">
        <v>-1190</v>
      </c>
      <c r="R55" s="13">
        <v>-1187</v>
      </c>
      <c r="S55" s="13">
        <v>-1190</v>
      </c>
      <c r="T55" s="13">
        <v>-1188</v>
      </c>
    </row>
    <row r="56" spans="1:20" ht="12.75">
      <c r="A56" s="6" t="s">
        <v>34</v>
      </c>
      <c r="B56" s="6" t="s">
        <v>16</v>
      </c>
      <c r="C56" s="6" t="s">
        <v>3</v>
      </c>
      <c r="D56" s="6" t="s">
        <v>4</v>
      </c>
      <c r="E56" s="6" t="s">
        <v>61</v>
      </c>
      <c r="F56" s="4">
        <v>-1400</v>
      </c>
      <c r="G56" s="4"/>
      <c r="H56" s="7">
        <f t="shared" si="1"/>
        <v>0</v>
      </c>
      <c r="I56" s="40"/>
      <c r="J56" s="40"/>
      <c r="K56" s="40"/>
      <c r="L56" s="40"/>
      <c r="M56" s="40"/>
      <c r="N56" s="4"/>
      <c r="O56" s="4"/>
      <c r="P56" s="4"/>
      <c r="Q56" s="4"/>
      <c r="R56" s="4"/>
      <c r="S56" s="4"/>
      <c r="T56" s="4"/>
    </row>
    <row r="57" spans="1:20" ht="12.75">
      <c r="A57" s="6" t="s">
        <v>34</v>
      </c>
      <c r="B57" s="6" t="s">
        <v>10</v>
      </c>
      <c r="C57" s="6" t="s">
        <v>4</v>
      </c>
      <c r="D57" s="6" t="s">
        <v>4</v>
      </c>
      <c r="E57" s="6" t="s">
        <v>62</v>
      </c>
      <c r="F57" s="4">
        <f>F59+F58</f>
        <v>0</v>
      </c>
      <c r="G57" s="4">
        <f>G59+G58</f>
        <v>-73297.97</v>
      </c>
      <c r="H57" s="7">
        <f t="shared" si="1"/>
        <v>-69088.54000000001</v>
      </c>
      <c r="I57" s="40">
        <f>I59+I58</f>
        <v>-6155.43</v>
      </c>
      <c r="J57" s="40">
        <f>J59+J58</f>
        <v>-6075.68</v>
      </c>
      <c r="K57" s="40">
        <f>K59+K58</f>
        <v>-5176.24</v>
      </c>
      <c r="L57" s="40">
        <f>L59+L58</f>
        <v>-5829.82</v>
      </c>
      <c r="M57" s="40">
        <f aca="true" t="shared" si="21" ref="M57:T57">M59+M58</f>
        <v>-6295.97</v>
      </c>
      <c r="N57" s="4">
        <f t="shared" si="21"/>
        <v>-5665.72</v>
      </c>
      <c r="O57" s="4">
        <f t="shared" si="21"/>
        <v>-5453.45</v>
      </c>
      <c r="P57" s="4">
        <f t="shared" si="21"/>
        <v>-5539.86</v>
      </c>
      <c r="Q57" s="4">
        <f t="shared" si="21"/>
        <v>-5763.4</v>
      </c>
      <c r="R57" s="4">
        <f t="shared" si="21"/>
        <v>-5495.48</v>
      </c>
      <c r="S57" s="4">
        <f t="shared" si="21"/>
        <v>-6315.36</v>
      </c>
      <c r="T57" s="4">
        <f t="shared" si="21"/>
        <v>-5322.13</v>
      </c>
    </row>
    <row r="58" spans="1:20" ht="12.75">
      <c r="A58" s="6" t="s">
        <v>34</v>
      </c>
      <c r="B58" s="6" t="s">
        <v>10</v>
      </c>
      <c r="C58" s="6" t="s">
        <v>13</v>
      </c>
      <c r="D58" s="6" t="s">
        <v>4</v>
      </c>
      <c r="E58" s="6" t="s">
        <v>63</v>
      </c>
      <c r="F58" s="4"/>
      <c r="G58" s="4">
        <v>-73297.97</v>
      </c>
      <c r="H58" s="7">
        <f t="shared" si="1"/>
        <v>-69088.54000000001</v>
      </c>
      <c r="I58" s="40">
        <v>-6155.43</v>
      </c>
      <c r="J58" s="40">
        <v>-6075.68</v>
      </c>
      <c r="K58" s="40">
        <v>-5176.24</v>
      </c>
      <c r="L58" s="40">
        <v>-5829.82</v>
      </c>
      <c r="M58" s="40">
        <v>-6295.97</v>
      </c>
      <c r="N58" s="4">
        <v>-5665.72</v>
      </c>
      <c r="O58" s="4">
        <v>-5453.45</v>
      </c>
      <c r="P58" s="4">
        <v>-5539.86</v>
      </c>
      <c r="Q58" s="4">
        <v>-5763.4</v>
      </c>
      <c r="R58" s="4">
        <v>-5495.48</v>
      </c>
      <c r="S58" s="4">
        <v>-6315.36</v>
      </c>
      <c r="T58" s="4">
        <v>-5322.13</v>
      </c>
    </row>
    <row r="59" spans="1:20" ht="12.75">
      <c r="A59" s="6" t="s">
        <v>34</v>
      </c>
      <c r="B59" s="6" t="s">
        <v>10</v>
      </c>
      <c r="C59" s="6" t="s">
        <v>10</v>
      </c>
      <c r="D59" s="6" t="s">
        <v>4</v>
      </c>
      <c r="E59" s="6" t="s">
        <v>64</v>
      </c>
      <c r="F59" s="4"/>
      <c r="G59" s="4"/>
      <c r="H59" s="7">
        <f t="shared" si="1"/>
        <v>0</v>
      </c>
      <c r="I59" s="40"/>
      <c r="J59" s="40"/>
      <c r="K59" s="40"/>
      <c r="L59" s="40"/>
      <c r="M59" s="40"/>
      <c r="N59" s="4"/>
      <c r="O59" s="4"/>
      <c r="P59" s="4"/>
      <c r="Q59" s="4"/>
      <c r="R59" s="4"/>
      <c r="S59" s="4"/>
      <c r="T59" s="4"/>
    </row>
    <row r="60" spans="1:20" ht="12.75">
      <c r="A60" s="6">
        <v>6</v>
      </c>
      <c r="B60" s="6">
        <v>8</v>
      </c>
      <c r="C60" s="6">
        <v>0</v>
      </c>
      <c r="D60" s="6">
        <v>0</v>
      </c>
      <c r="E60" s="6" t="s">
        <v>104</v>
      </c>
      <c r="F60" s="4"/>
      <c r="G60" s="4"/>
      <c r="H60" s="7">
        <f t="shared" si="1"/>
        <v>0</v>
      </c>
      <c r="I60" s="40"/>
      <c r="J60" s="40"/>
      <c r="K60" s="40"/>
      <c r="L60" s="40"/>
      <c r="M60" s="40"/>
      <c r="N60" s="4"/>
      <c r="O60" s="4"/>
      <c r="P60" s="4"/>
      <c r="Q60" s="4"/>
      <c r="R60" s="4"/>
      <c r="S60" s="4"/>
      <c r="T60" s="4"/>
    </row>
    <row r="61" spans="1:20" ht="12.75">
      <c r="A61" s="16"/>
      <c r="B61" s="16"/>
      <c r="C61" s="16"/>
      <c r="D61" s="16"/>
      <c r="E61" s="17" t="s">
        <v>65</v>
      </c>
      <c r="F61" s="7">
        <f>F3+F17+F20+F44</f>
        <v>-113038.96999999974</v>
      </c>
      <c r="G61" s="7">
        <f>G3+G17+G20+G44</f>
        <v>293950.65000000014</v>
      </c>
      <c r="H61" s="7">
        <f t="shared" si="1"/>
        <v>459577.36840000004</v>
      </c>
      <c r="I61" s="43">
        <f>I3+I17+I20+I44</f>
        <v>219297.52000000002</v>
      </c>
      <c r="J61" s="43">
        <f>J3+J17+J20+J44</f>
        <v>204699.2800000001</v>
      </c>
      <c r="K61" s="43">
        <f>K3+K17+K20+K44</f>
        <v>89119.02999999997</v>
      </c>
      <c r="L61" s="43">
        <f>L3+L17+L20+L44</f>
        <v>112296.79000000001</v>
      </c>
      <c r="M61" s="43">
        <f aca="true" t="shared" si="22" ref="M61:T61">M3+M17+M20+M44</f>
        <v>-53287.64</v>
      </c>
      <c r="N61" s="7">
        <f t="shared" si="22"/>
        <v>-96560.90000000001</v>
      </c>
      <c r="O61" s="7">
        <f t="shared" si="22"/>
        <v>-84912.1396</v>
      </c>
      <c r="P61" s="7">
        <f t="shared" si="22"/>
        <v>-85650.3336</v>
      </c>
      <c r="Q61" s="7">
        <f t="shared" si="22"/>
        <v>-77670.87</v>
      </c>
      <c r="R61" s="7">
        <f t="shared" si="22"/>
        <v>45091.181600000025</v>
      </c>
      <c r="S61" s="7">
        <f t="shared" si="22"/>
        <v>79543.23</v>
      </c>
      <c r="T61" s="7">
        <f t="shared" si="22"/>
        <v>107612.21999999994</v>
      </c>
    </row>
    <row r="62" spans="5:9" ht="12.75">
      <c r="E62" s="19" t="s">
        <v>66</v>
      </c>
      <c r="F62" s="20"/>
      <c r="G62" s="20"/>
      <c r="H62" s="21">
        <f t="shared" si="1"/>
        <v>0</v>
      </c>
      <c r="I62" s="44"/>
    </row>
    <row r="63" spans="1:20" s="54" customFormat="1" ht="38.25">
      <c r="A63" s="52"/>
      <c r="B63" s="52"/>
      <c r="C63" s="52"/>
      <c r="D63" s="52"/>
      <c r="E63" s="53"/>
      <c r="F63" s="3" t="s">
        <v>0</v>
      </c>
      <c r="G63" s="3" t="s">
        <v>1</v>
      </c>
      <c r="H63" s="3" t="s">
        <v>266</v>
      </c>
      <c r="I63" s="45" t="s">
        <v>89</v>
      </c>
      <c r="J63" s="45" t="s">
        <v>90</v>
      </c>
      <c r="K63" s="45" t="s">
        <v>91</v>
      </c>
      <c r="L63" s="45" t="s">
        <v>92</v>
      </c>
      <c r="M63" s="45" t="s">
        <v>93</v>
      </c>
      <c r="N63" s="5" t="s">
        <v>246</v>
      </c>
      <c r="O63" s="5" t="s">
        <v>95</v>
      </c>
      <c r="P63" s="5" t="s">
        <v>96</v>
      </c>
      <c r="Q63" s="5" t="s">
        <v>97</v>
      </c>
      <c r="R63" s="5" t="s">
        <v>262</v>
      </c>
      <c r="S63" s="5" t="s">
        <v>267</v>
      </c>
      <c r="T63" s="5" t="s">
        <v>100</v>
      </c>
    </row>
    <row r="64" spans="5:20" ht="12.75">
      <c r="E64" s="18" t="s">
        <v>68</v>
      </c>
      <c r="F64" s="112"/>
      <c r="G64" s="112"/>
      <c r="H64" s="21">
        <f>SUM(I64:T64)</f>
        <v>195524.36</v>
      </c>
      <c r="I64" s="44">
        <f>SUM(I65:I73)</f>
        <v>12655.74</v>
      </c>
      <c r="J64" s="44">
        <f>SUM(J65:J73)</f>
        <v>11613.9</v>
      </c>
      <c r="K64" s="44">
        <f>SUM(K65:K73)</f>
        <v>13278.6</v>
      </c>
      <c r="L64" s="44">
        <f>SUM(L65:L73)</f>
        <v>11061.4</v>
      </c>
      <c r="M64" s="44">
        <f aca="true" t="shared" si="23" ref="M64:T64">SUM(M65:M73)</f>
        <v>12311</v>
      </c>
      <c r="N64">
        <f t="shared" si="23"/>
        <v>12311</v>
      </c>
      <c r="O64">
        <f t="shared" si="23"/>
        <v>17138.55</v>
      </c>
      <c r="P64">
        <f t="shared" si="23"/>
        <v>9958.12</v>
      </c>
      <c r="Q64">
        <f t="shared" si="23"/>
        <v>14457.9</v>
      </c>
      <c r="R64">
        <f t="shared" si="23"/>
        <v>24110.899999999998</v>
      </c>
      <c r="S64">
        <f t="shared" si="23"/>
        <v>20732</v>
      </c>
      <c r="T64">
        <f t="shared" si="23"/>
        <v>35895.25</v>
      </c>
    </row>
    <row r="65" spans="1:20" s="25" customFormat="1" ht="11.25">
      <c r="A65" s="22"/>
      <c r="B65" s="22"/>
      <c r="C65" s="22"/>
      <c r="D65" s="22"/>
      <c r="E65" s="22" t="s">
        <v>69</v>
      </c>
      <c r="F65" s="113"/>
      <c r="G65" s="113"/>
      <c r="H65" s="23">
        <f aca="true" t="shared" si="24" ref="H65:H76">SUM(I65:T65)</f>
        <v>146695.35</v>
      </c>
      <c r="I65" s="46">
        <v>8601.3</v>
      </c>
      <c r="J65" s="46">
        <v>8332.8</v>
      </c>
      <c r="K65" s="46">
        <f>600+9290.1</f>
        <v>9890.1</v>
      </c>
      <c r="L65" s="46">
        <v>7852.5</v>
      </c>
      <c r="M65" s="46">
        <v>10493.3</v>
      </c>
      <c r="N65" s="24">
        <v>10493.3</v>
      </c>
      <c r="O65" s="24">
        <v>8771.05</v>
      </c>
      <c r="P65" s="24">
        <v>7868.85</v>
      </c>
      <c r="Q65" s="24">
        <v>10950.75</v>
      </c>
      <c r="R65" s="24">
        <v>21769.85</v>
      </c>
      <c r="S65" s="24">
        <v>20079.5</v>
      </c>
      <c r="T65" s="24">
        <v>21592.05</v>
      </c>
    </row>
    <row r="66" spans="1:20" s="25" customFormat="1" ht="11.25">
      <c r="A66" s="22"/>
      <c r="B66" s="22"/>
      <c r="C66" s="22"/>
      <c r="D66" s="22"/>
      <c r="E66" s="26" t="s">
        <v>268</v>
      </c>
      <c r="F66" s="113"/>
      <c r="G66" s="113"/>
      <c r="H66" s="23">
        <f t="shared" si="24"/>
        <v>27085.440000000002</v>
      </c>
      <c r="I66" s="47">
        <v>4054.44</v>
      </c>
      <c r="J66" s="47">
        <v>3281.1</v>
      </c>
      <c r="K66" s="47">
        <v>3388.5</v>
      </c>
      <c r="L66" s="47">
        <v>3208.9</v>
      </c>
      <c r="M66" s="47"/>
      <c r="N66" s="27">
        <v>0</v>
      </c>
      <c r="O66" s="27">
        <v>0</v>
      </c>
      <c r="P66" s="27">
        <v>0</v>
      </c>
      <c r="Q66" s="27"/>
      <c r="R66" s="27"/>
      <c r="S66" s="27">
        <v>652.5</v>
      </c>
      <c r="T66" s="27">
        <v>12500</v>
      </c>
    </row>
    <row r="67" spans="1:20" s="25" customFormat="1" ht="11.25">
      <c r="A67" s="22"/>
      <c r="B67" s="22"/>
      <c r="C67" s="22"/>
      <c r="D67" s="22"/>
      <c r="E67" s="26" t="s">
        <v>71</v>
      </c>
      <c r="F67" s="26"/>
      <c r="G67" s="114"/>
      <c r="H67" s="23">
        <f t="shared" si="24"/>
        <v>10185.2</v>
      </c>
      <c r="I67" s="47"/>
      <c r="J67" s="47"/>
      <c r="K67" s="47"/>
      <c r="L67" s="47"/>
      <c r="M67" s="47"/>
      <c r="N67" s="27">
        <v>1817.7</v>
      </c>
      <c r="O67" s="27">
        <v>8367.5</v>
      </c>
      <c r="P67" s="27">
        <v>0</v>
      </c>
      <c r="Q67" s="27">
        <v>0</v>
      </c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 t="s">
        <v>115</v>
      </c>
      <c r="F68" s="26"/>
      <c r="G68" s="114"/>
      <c r="H68" s="23">
        <f t="shared" si="24"/>
        <v>5961.95</v>
      </c>
      <c r="I68" s="47"/>
      <c r="J68" s="47"/>
      <c r="K68" s="47"/>
      <c r="L68" s="47"/>
      <c r="M68" s="47">
        <v>1817.7</v>
      </c>
      <c r="N68" s="27"/>
      <c r="O68" s="27"/>
      <c r="P68" s="27"/>
      <c r="Q68" s="27"/>
      <c r="R68" s="27">
        <v>2341.05</v>
      </c>
      <c r="S68" s="27"/>
      <c r="T68" s="27">
        <v>1803.2</v>
      </c>
    </row>
    <row r="69" spans="1:20" s="25" customFormat="1" ht="11.25">
      <c r="A69" s="22"/>
      <c r="B69" s="22"/>
      <c r="C69" s="22"/>
      <c r="D69" s="22"/>
      <c r="E69" s="26"/>
      <c r="F69" s="26"/>
      <c r="G69" s="114"/>
      <c r="H69" s="23">
        <f t="shared" si="24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1.25">
      <c r="A70" s="22"/>
      <c r="B70" s="22"/>
      <c r="C70" s="22"/>
      <c r="D70" s="22"/>
      <c r="E70" s="26"/>
      <c r="F70" s="26"/>
      <c r="G70" s="114"/>
      <c r="H70" s="23">
        <f t="shared" si="24"/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1:20" s="25" customFormat="1" ht="11.25">
      <c r="A71" s="22"/>
      <c r="B71" s="22"/>
      <c r="C71" s="22"/>
      <c r="D71" s="22"/>
      <c r="E71" s="26" t="s">
        <v>72</v>
      </c>
      <c r="F71" s="26"/>
      <c r="G71" s="26"/>
      <c r="H71" s="23">
        <f t="shared" si="24"/>
        <v>5596.42</v>
      </c>
      <c r="I71" s="47"/>
      <c r="J71" s="47"/>
      <c r="K71" s="47"/>
      <c r="L71" s="47"/>
      <c r="M71" s="47"/>
      <c r="N71" s="27"/>
      <c r="O71" s="27"/>
      <c r="P71" s="27">
        <v>2089.27</v>
      </c>
      <c r="Q71" s="27">
        <v>3507.15</v>
      </c>
      <c r="R71" s="27"/>
      <c r="S71" s="27"/>
      <c r="T71" s="27"/>
    </row>
    <row r="72" spans="1:20" s="25" customFormat="1" ht="12.75">
      <c r="A72" s="22"/>
      <c r="B72" s="22"/>
      <c r="C72" s="22"/>
      <c r="D72" s="22"/>
      <c r="E72" s="26"/>
      <c r="F72" s="26"/>
      <c r="G72" s="26"/>
      <c r="H72" s="21">
        <f t="shared" si="24"/>
        <v>0</v>
      </c>
      <c r="I72" s="47"/>
      <c r="J72" s="47"/>
      <c r="K72" s="47"/>
      <c r="L72" s="47"/>
      <c r="M72" s="47"/>
      <c r="N72" s="27"/>
      <c r="O72" s="27"/>
      <c r="P72" s="27"/>
      <c r="Q72" s="27"/>
      <c r="R72" s="27"/>
      <c r="S72" s="27"/>
      <c r="T72" s="27"/>
    </row>
    <row r="73" spans="5:20" ht="12.75">
      <c r="E73" s="26"/>
      <c r="F73" s="26"/>
      <c r="G73" s="26"/>
      <c r="H73" s="21">
        <f t="shared" si="24"/>
        <v>0</v>
      </c>
      <c r="I73" s="47"/>
      <c r="J73" s="47"/>
      <c r="K73" s="47"/>
      <c r="L73" s="47"/>
      <c r="M73" s="47"/>
      <c r="N73" s="27"/>
      <c r="O73" s="27"/>
      <c r="P73" s="27"/>
      <c r="Q73" s="27"/>
      <c r="R73" s="27"/>
      <c r="S73" s="27"/>
      <c r="T73" s="27"/>
    </row>
    <row r="74" spans="5:20" ht="12.75">
      <c r="E74" s="28" t="s">
        <v>73</v>
      </c>
      <c r="F74" s="28"/>
      <c r="G74" s="28"/>
      <c r="H74" s="21">
        <f t="shared" si="24"/>
        <v>64334.2432</v>
      </c>
      <c r="I74" s="24">
        <f>I64*33/100</f>
        <v>4176.3942</v>
      </c>
      <c r="J74" s="24">
        <f>J64*33/100</f>
        <v>3832.587</v>
      </c>
      <c r="K74" s="24">
        <v>4380</v>
      </c>
      <c r="L74" s="24">
        <f>L64*33/100</f>
        <v>3650.262</v>
      </c>
      <c r="M74" s="24">
        <v>4061</v>
      </c>
      <c r="N74" s="24">
        <v>4061</v>
      </c>
      <c r="O74" s="24">
        <v>5655</v>
      </c>
      <c r="P74" s="24">
        <v>3284</v>
      </c>
      <c r="Q74" s="24">
        <v>4771</v>
      </c>
      <c r="R74" s="24">
        <v>7775</v>
      </c>
      <c r="S74" s="24">
        <v>6842</v>
      </c>
      <c r="T74" s="24">
        <v>11846</v>
      </c>
    </row>
    <row r="75" spans="5:20" ht="12.75">
      <c r="E75" s="28" t="s">
        <v>74</v>
      </c>
      <c r="F75" s="28"/>
      <c r="G75" s="28"/>
      <c r="H75" s="21">
        <f t="shared" si="24"/>
        <v>2703.63456</v>
      </c>
      <c r="I75" s="24">
        <f>1.4*I64/100</f>
        <v>177.18036</v>
      </c>
      <c r="J75" s="24">
        <f>1.4*J64/100</f>
        <v>162.59459999999999</v>
      </c>
      <c r="K75" s="24">
        <v>185</v>
      </c>
      <c r="L75" s="24">
        <f>1.4*L64/100</f>
        <v>154.8596</v>
      </c>
      <c r="M75" s="24">
        <v>172</v>
      </c>
      <c r="N75" s="24">
        <v>172</v>
      </c>
      <c r="O75" s="24">
        <v>239</v>
      </c>
      <c r="P75" s="24">
        <v>140</v>
      </c>
      <c r="Q75" s="24">
        <v>203</v>
      </c>
      <c r="R75" s="24">
        <v>306</v>
      </c>
      <c r="S75" s="24">
        <v>291</v>
      </c>
      <c r="T75" s="24">
        <v>501</v>
      </c>
    </row>
    <row r="76" spans="6:20" ht="12.75">
      <c r="F76" s="29"/>
      <c r="G76" s="29"/>
      <c r="H76" s="21">
        <f t="shared" si="24"/>
        <v>262562.23776</v>
      </c>
      <c r="I76" s="24">
        <f aca="true" t="shared" si="25" ref="I76:T76">I64+I74+I75</f>
        <v>17009.31456</v>
      </c>
      <c r="J76" s="24">
        <f t="shared" si="25"/>
        <v>15609.0816</v>
      </c>
      <c r="K76" s="24">
        <f t="shared" si="25"/>
        <v>17843.6</v>
      </c>
      <c r="L76" s="24">
        <f t="shared" si="25"/>
        <v>14866.5216</v>
      </c>
      <c r="M76" s="24">
        <f t="shared" si="25"/>
        <v>16544</v>
      </c>
      <c r="N76" s="24">
        <f t="shared" si="25"/>
        <v>16544</v>
      </c>
      <c r="O76" s="24">
        <f t="shared" si="25"/>
        <v>23032.55</v>
      </c>
      <c r="P76" s="24">
        <f t="shared" si="25"/>
        <v>13382.12</v>
      </c>
      <c r="Q76" s="24">
        <f t="shared" si="25"/>
        <v>19431.9</v>
      </c>
      <c r="R76" s="24">
        <f t="shared" si="25"/>
        <v>32191.899999999998</v>
      </c>
      <c r="S76" s="24">
        <f t="shared" si="25"/>
        <v>27865</v>
      </c>
      <c r="T76" s="24">
        <f t="shared" si="25"/>
        <v>48242.25</v>
      </c>
    </row>
    <row r="77" spans="5:20" ht="12.75">
      <c r="E77" s="30" t="s">
        <v>75</v>
      </c>
      <c r="H77" s="21" t="s">
        <v>76</v>
      </c>
      <c r="I77" s="48"/>
      <c r="J77" s="48"/>
      <c r="K77" s="48"/>
      <c r="L77" s="48"/>
      <c r="M77" s="48"/>
      <c r="N77" s="31"/>
      <c r="O77" s="31">
        <v>994.84</v>
      </c>
      <c r="P77" s="31">
        <v>994.84</v>
      </c>
      <c r="Q77" s="31">
        <v>994.84</v>
      </c>
      <c r="R77" s="31">
        <v>994.84</v>
      </c>
      <c r="S77" s="31">
        <v>994.84</v>
      </c>
      <c r="T77" s="31">
        <v>994.84</v>
      </c>
    </row>
    <row r="78" spans="1:20" ht="18">
      <c r="A78" s="1"/>
      <c r="B78" s="1"/>
      <c r="C78" s="1"/>
      <c r="D78" s="1"/>
      <c r="E78" s="2"/>
      <c r="H78" s="3" t="s">
        <v>67</v>
      </c>
      <c r="I78" s="40" t="s">
        <v>89</v>
      </c>
      <c r="J78" s="40" t="s">
        <v>90</v>
      </c>
      <c r="K78" s="40" t="s">
        <v>91</v>
      </c>
      <c r="L78" s="45" t="s">
        <v>92</v>
      </c>
      <c r="M78" s="40" t="s">
        <v>93</v>
      </c>
      <c r="N78" s="4" t="s">
        <v>94</v>
      </c>
      <c r="O78" s="4" t="s">
        <v>95</v>
      </c>
      <c r="P78" s="5" t="s">
        <v>96</v>
      </c>
      <c r="Q78" s="4" t="s">
        <v>97</v>
      </c>
      <c r="R78" s="4" t="s">
        <v>262</v>
      </c>
      <c r="S78" s="4" t="s">
        <v>99</v>
      </c>
      <c r="T78" s="5" t="s">
        <v>271</v>
      </c>
    </row>
    <row r="79" spans="1:20" ht="12.75">
      <c r="A79" s="1"/>
      <c r="B79" s="1"/>
      <c r="C79" s="1"/>
      <c r="D79" s="1"/>
      <c r="E79" s="16" t="s">
        <v>77</v>
      </c>
      <c r="H79" s="7">
        <f aca="true" t="shared" si="26" ref="H79:H99">SUM(I79:T79)</f>
        <v>2953.63</v>
      </c>
      <c r="I79" s="32">
        <v>560.56</v>
      </c>
      <c r="J79" s="32">
        <v>459.76</v>
      </c>
      <c r="K79" s="32">
        <v>381.48</v>
      </c>
      <c r="L79" s="32">
        <v>219.16</v>
      </c>
      <c r="M79" s="32">
        <v>80.27</v>
      </c>
      <c r="N79" s="1">
        <v>41.33</v>
      </c>
      <c r="O79" s="1">
        <v>35.81</v>
      </c>
      <c r="P79" s="1">
        <v>35.21</v>
      </c>
      <c r="Q79" s="1">
        <v>62.11</v>
      </c>
      <c r="R79" s="1">
        <v>271.49</v>
      </c>
      <c r="S79" s="1">
        <v>323.82</v>
      </c>
      <c r="T79" s="1">
        <v>482.63</v>
      </c>
    </row>
    <row r="80" spans="1:20" ht="12.75">
      <c r="A80" s="1"/>
      <c r="B80" s="1"/>
      <c r="C80" s="1"/>
      <c r="D80" s="1"/>
      <c r="E80" s="32" t="s">
        <v>78</v>
      </c>
      <c r="H80" s="7">
        <f t="shared" si="26"/>
        <v>2938389.1284</v>
      </c>
      <c r="I80" s="40">
        <v>557667.5</v>
      </c>
      <c r="J80" s="40">
        <v>457387.65</v>
      </c>
      <c r="K80" s="40">
        <v>379511.6</v>
      </c>
      <c r="L80" s="40">
        <v>218029.15</v>
      </c>
      <c r="M80" s="40">
        <v>79855.7</v>
      </c>
      <c r="N80" s="4">
        <v>41116.7</v>
      </c>
      <c r="O80" s="4">
        <f>O79*O77+0.03</f>
        <v>35625.250400000004</v>
      </c>
      <c r="P80" s="4">
        <f>P79*P77</f>
        <v>35028.3164</v>
      </c>
      <c r="Q80" s="4">
        <v>61789.55</v>
      </c>
      <c r="R80" s="4">
        <f>R79*R77</f>
        <v>270089.1116</v>
      </c>
      <c r="S80" s="4">
        <v>322149</v>
      </c>
      <c r="T80" s="4">
        <v>480139.6</v>
      </c>
    </row>
    <row r="81" spans="1:20" ht="18">
      <c r="A81" s="1"/>
      <c r="B81" s="1"/>
      <c r="C81" s="1"/>
      <c r="D81" s="1"/>
      <c r="E81" s="33" t="s">
        <v>79</v>
      </c>
      <c r="F81" s="2"/>
      <c r="G81" s="2"/>
      <c r="H81" s="7">
        <f t="shared" si="26"/>
        <v>1272.3385865136293</v>
      </c>
      <c r="I81" s="38">
        <v>144.117</v>
      </c>
      <c r="J81" s="38"/>
      <c r="K81" s="38"/>
      <c r="L81" s="38"/>
      <c r="M81" s="38"/>
      <c r="N81" s="13">
        <f>N83/N82</f>
        <v>157.22877272727274</v>
      </c>
      <c r="O81" s="13">
        <v>158.47</v>
      </c>
      <c r="P81" s="13">
        <f>P83/P82</f>
        <v>162.16676470588234</v>
      </c>
      <c r="Q81" s="13">
        <f>Q83/Q82</f>
        <v>162.58533582089552</v>
      </c>
      <c r="R81" s="13">
        <f>R83/R82</f>
        <v>162.60792378648117</v>
      </c>
      <c r="S81" s="13">
        <f>S83/S82</f>
        <v>162.5846598434678</v>
      </c>
      <c r="T81" s="13">
        <f>T83/T82</f>
        <v>162.57812962962964</v>
      </c>
    </row>
    <row r="82" spans="1:20" ht="12.75">
      <c r="A82" s="1"/>
      <c r="B82" s="1"/>
      <c r="C82" s="1"/>
      <c r="D82" s="1"/>
      <c r="E82" s="32" t="s">
        <v>80</v>
      </c>
      <c r="H82" s="7">
        <f t="shared" si="26"/>
        <v>7542.8</v>
      </c>
      <c r="I82" s="38">
        <v>1195</v>
      </c>
      <c r="J82" s="38">
        <v>1046</v>
      </c>
      <c r="K82" s="38">
        <v>861</v>
      </c>
      <c r="L82" s="38">
        <v>613</v>
      </c>
      <c r="M82" s="38">
        <v>328</v>
      </c>
      <c r="N82" s="13">
        <v>220</v>
      </c>
      <c r="O82" s="13">
        <v>236</v>
      </c>
      <c r="P82" s="13">
        <v>204</v>
      </c>
      <c r="Q82" s="13">
        <v>268</v>
      </c>
      <c r="R82" s="13">
        <v>661.3</v>
      </c>
      <c r="S82" s="13">
        <v>830.5</v>
      </c>
      <c r="T82" s="13">
        <v>1080</v>
      </c>
    </row>
    <row r="83" spans="1:20" ht="12.75">
      <c r="A83" s="1"/>
      <c r="B83" s="1"/>
      <c r="C83" s="1"/>
      <c r="D83" s="1"/>
      <c r="E83" s="32" t="s">
        <v>81</v>
      </c>
      <c r="F83" s="22"/>
      <c r="G83" s="22"/>
      <c r="H83" s="7">
        <f t="shared" si="26"/>
        <v>1144251.4849999999</v>
      </c>
      <c r="I83" s="40">
        <f>I81*I82</f>
        <v>172219.815</v>
      </c>
      <c r="J83" s="40">
        <v>132874.22</v>
      </c>
      <c r="K83" s="40">
        <v>131555.65</v>
      </c>
      <c r="L83" s="40">
        <v>91300.28</v>
      </c>
      <c r="M83" s="40">
        <v>49513.64</v>
      </c>
      <c r="N83" s="4">
        <v>34590.33</v>
      </c>
      <c r="O83" s="4">
        <v>37399.1</v>
      </c>
      <c r="P83" s="4">
        <v>33082.02</v>
      </c>
      <c r="Q83" s="4">
        <v>43572.87</v>
      </c>
      <c r="R83" s="4">
        <v>107532.62</v>
      </c>
      <c r="S83" s="4">
        <v>135026.56</v>
      </c>
      <c r="T83" s="4">
        <v>175584.38</v>
      </c>
    </row>
    <row r="84" spans="1:20" ht="12.75">
      <c r="A84" s="1"/>
      <c r="B84" s="1"/>
      <c r="C84" s="1"/>
      <c r="D84" s="1"/>
      <c r="E84" s="33" t="s">
        <v>119</v>
      </c>
      <c r="F84" s="22"/>
      <c r="G84" s="22"/>
      <c r="H84" s="7">
        <f t="shared" si="26"/>
        <v>33.818591175600815</v>
      </c>
      <c r="I84" s="38"/>
      <c r="J84" s="38"/>
      <c r="K84" s="38"/>
      <c r="L84" s="38"/>
      <c r="M84" s="38"/>
      <c r="N84" s="13">
        <f aca="true" t="shared" si="27" ref="N84:T84">N86/N85</f>
        <v>5.332305194805195</v>
      </c>
      <c r="O84" s="13">
        <f t="shared" si="27"/>
        <v>5.075573770491803</v>
      </c>
      <c r="P84" s="13">
        <f t="shared" si="27"/>
        <v>5.20893371757925</v>
      </c>
      <c r="Q84" s="13">
        <f t="shared" si="27"/>
        <v>4.497319587628866</v>
      </c>
      <c r="R84" s="13">
        <f t="shared" si="27"/>
        <v>4.429079520697168</v>
      </c>
      <c r="S84" s="13">
        <f t="shared" si="27"/>
        <v>4.655732009925559</v>
      </c>
      <c r="T84" s="13">
        <f t="shared" si="27"/>
        <v>4.6196473744729785</v>
      </c>
    </row>
    <row r="85" spans="1:20" ht="12.75">
      <c r="A85" s="1"/>
      <c r="B85" s="1"/>
      <c r="C85" s="1"/>
      <c r="D85" s="1"/>
      <c r="E85" s="32" t="s">
        <v>80</v>
      </c>
      <c r="F85" s="26"/>
      <c r="G85" s="26"/>
      <c r="H85" s="7">
        <f t="shared" si="26"/>
        <v>51614</v>
      </c>
      <c r="I85" s="32">
        <v>15318</v>
      </c>
      <c r="J85" s="32">
        <v>6855</v>
      </c>
      <c r="K85" s="32">
        <v>15841</v>
      </c>
      <c r="L85" s="32">
        <v>3185</v>
      </c>
      <c r="M85" s="32">
        <v>462</v>
      </c>
      <c r="N85" s="1">
        <v>616</v>
      </c>
      <c r="O85" s="1">
        <v>183</v>
      </c>
      <c r="P85" s="1">
        <v>1388</v>
      </c>
      <c r="Q85" s="1">
        <v>97</v>
      </c>
      <c r="R85" s="1">
        <v>1836</v>
      </c>
      <c r="S85" s="1">
        <v>3224</v>
      </c>
      <c r="T85" s="1">
        <v>2609</v>
      </c>
    </row>
    <row r="86" spans="1:20" ht="12.75">
      <c r="A86" s="1"/>
      <c r="B86" s="1"/>
      <c r="C86" s="1"/>
      <c r="D86" s="1"/>
      <c r="E86" s="32" t="s">
        <v>81</v>
      </c>
      <c r="F86" s="26"/>
      <c r="G86" s="26"/>
      <c r="H86" s="7">
        <f t="shared" si="26"/>
        <v>233442.64999999997</v>
      </c>
      <c r="I86" s="40">
        <v>68233.59</v>
      </c>
      <c r="J86" s="40">
        <v>31967.33</v>
      </c>
      <c r="K86" s="40">
        <v>68286.92</v>
      </c>
      <c r="L86" s="40">
        <v>15430.3</v>
      </c>
      <c r="M86" s="40">
        <v>2450.21</v>
      </c>
      <c r="N86" s="4">
        <v>3284.7</v>
      </c>
      <c r="O86" s="4">
        <v>928.83</v>
      </c>
      <c r="P86" s="4">
        <v>7230</v>
      </c>
      <c r="Q86" s="4">
        <v>436.24</v>
      </c>
      <c r="R86" s="4">
        <v>8131.79</v>
      </c>
      <c r="S86" s="4">
        <v>15010.08</v>
      </c>
      <c r="T86" s="4">
        <v>12052.66</v>
      </c>
    </row>
    <row r="87" spans="5:20" ht="12.75">
      <c r="E87" s="55" t="s">
        <v>120</v>
      </c>
      <c r="F87" s="58">
        <v>1</v>
      </c>
      <c r="G87" s="26" t="s">
        <v>83</v>
      </c>
      <c r="H87" s="7">
        <f>SUM(I87:T87)</f>
        <v>4372</v>
      </c>
      <c r="I87" s="44">
        <f aca="true" t="shared" si="28" ref="I87:T87">SUM(I88:I89)</f>
        <v>726.4</v>
      </c>
      <c r="J87" s="44">
        <f t="shared" si="28"/>
        <v>574.35</v>
      </c>
      <c r="K87" s="44">
        <f t="shared" si="28"/>
        <v>478.31</v>
      </c>
      <c r="L87" s="44">
        <f t="shared" si="28"/>
        <v>366.45000000000005</v>
      </c>
      <c r="M87" s="44">
        <f t="shared" si="28"/>
        <v>186</v>
      </c>
      <c r="N87" s="44">
        <f t="shared" si="28"/>
        <v>121.83</v>
      </c>
      <c r="O87" s="44">
        <f t="shared" si="28"/>
        <v>128.54</v>
      </c>
      <c r="P87" s="44">
        <f t="shared" si="28"/>
        <v>146.79999999999998</v>
      </c>
      <c r="Q87" s="44">
        <f t="shared" si="28"/>
        <v>150.4</v>
      </c>
      <c r="R87" s="44">
        <f t="shared" si="28"/>
        <v>382.86</v>
      </c>
      <c r="S87" s="44">
        <f t="shared" si="28"/>
        <v>488.77</v>
      </c>
      <c r="T87" s="44">
        <f t="shared" si="28"/>
        <v>621.29</v>
      </c>
    </row>
    <row r="88" spans="1:20" s="25" customFormat="1" ht="11.25">
      <c r="A88" s="22"/>
      <c r="B88" s="22"/>
      <c r="C88" s="22"/>
      <c r="D88" s="22"/>
      <c r="E88" s="57" t="s">
        <v>153</v>
      </c>
      <c r="F88" s="58">
        <f>H88/H87</f>
        <v>0.09765096065873745</v>
      </c>
      <c r="G88" s="26" t="s">
        <v>83</v>
      </c>
      <c r="H88" s="10">
        <f>SUM(I88:T88)</f>
        <v>426.9300000000001</v>
      </c>
      <c r="I88" s="49">
        <v>128.17</v>
      </c>
      <c r="J88" s="49">
        <v>58.2</v>
      </c>
      <c r="K88" s="49">
        <v>122.75</v>
      </c>
      <c r="L88" s="26">
        <v>26.6</v>
      </c>
      <c r="M88" s="26">
        <v>4.43</v>
      </c>
      <c r="N88" s="26">
        <v>5.8</v>
      </c>
      <c r="O88" s="26">
        <v>2.29</v>
      </c>
      <c r="P88" s="26">
        <v>12.92</v>
      </c>
      <c r="Q88" s="26">
        <v>1.5</v>
      </c>
      <c r="R88" s="26">
        <v>15.49</v>
      </c>
      <c r="S88" s="25">
        <v>27.37</v>
      </c>
      <c r="T88" s="25">
        <v>21.41</v>
      </c>
    </row>
    <row r="89" spans="1:20" s="25" customFormat="1" ht="11.25">
      <c r="A89" s="22"/>
      <c r="B89" s="22"/>
      <c r="C89" s="22"/>
      <c r="D89" s="22"/>
      <c r="E89" s="57" t="s">
        <v>154</v>
      </c>
      <c r="F89" s="58">
        <f>H89/H87</f>
        <v>0.9023490393412626</v>
      </c>
      <c r="G89" s="26" t="s">
        <v>83</v>
      </c>
      <c r="H89" s="10">
        <f>SUM(I89:T89)</f>
        <v>3945.07</v>
      </c>
      <c r="I89" s="26">
        <v>598.23</v>
      </c>
      <c r="J89" s="49">
        <v>516.15</v>
      </c>
      <c r="K89" s="49">
        <v>355.56</v>
      </c>
      <c r="L89" s="26">
        <v>339.85</v>
      </c>
      <c r="M89" s="26">
        <v>181.57</v>
      </c>
      <c r="N89" s="26">
        <v>116.03</v>
      </c>
      <c r="O89" s="26">
        <v>126.25</v>
      </c>
      <c r="P89" s="26">
        <v>133.88</v>
      </c>
      <c r="Q89" s="26">
        <v>148.9</v>
      </c>
      <c r="R89" s="26">
        <v>367.37</v>
      </c>
      <c r="S89" s="25">
        <v>461.4</v>
      </c>
      <c r="T89" s="25">
        <v>599.88</v>
      </c>
    </row>
    <row r="90" spans="5:18" ht="12.75">
      <c r="E90" s="55"/>
      <c r="F90" s="26"/>
      <c r="G90" s="26"/>
      <c r="H90" s="7"/>
      <c r="I90" s="44"/>
      <c r="L90" s="56"/>
      <c r="M90" s="56"/>
      <c r="N90" s="56"/>
      <c r="O90" s="56"/>
      <c r="P90" s="56"/>
      <c r="Q90" s="56"/>
      <c r="R90" s="56"/>
    </row>
    <row r="91" spans="5:18" ht="12.75">
      <c r="E91" s="55"/>
      <c r="F91" s="26"/>
      <c r="G91" s="26"/>
      <c r="H91" s="7"/>
      <c r="I91" s="44"/>
      <c r="L91" s="56"/>
      <c r="M91" s="56"/>
      <c r="N91" s="56"/>
      <c r="O91" s="56"/>
      <c r="P91" s="56"/>
      <c r="Q91" s="56"/>
      <c r="R91" s="56"/>
    </row>
    <row r="92" spans="1:20" ht="18">
      <c r="A92" s="1"/>
      <c r="B92" s="1"/>
      <c r="C92" s="1"/>
      <c r="D92" s="1"/>
      <c r="E92" s="2"/>
      <c r="H92" s="3">
        <f t="shared" si="26"/>
        <v>0</v>
      </c>
      <c r="I92" s="40" t="s">
        <v>89</v>
      </c>
      <c r="J92" s="40" t="s">
        <v>90</v>
      </c>
      <c r="K92" s="40" t="s">
        <v>91</v>
      </c>
      <c r="L92" s="45" t="s">
        <v>92</v>
      </c>
      <c r="M92" s="40" t="s">
        <v>93</v>
      </c>
      <c r="N92" s="4" t="s">
        <v>94</v>
      </c>
      <c r="O92" s="4" t="s">
        <v>95</v>
      </c>
      <c r="P92" s="5" t="s">
        <v>96</v>
      </c>
      <c r="Q92" s="4" t="s">
        <v>97</v>
      </c>
      <c r="R92" s="4" t="s">
        <v>98</v>
      </c>
      <c r="S92" s="4" t="s">
        <v>99</v>
      </c>
      <c r="T92" s="5" t="s">
        <v>100</v>
      </c>
    </row>
    <row r="93" spans="5:20" ht="12.75">
      <c r="E93" s="18" t="s">
        <v>84</v>
      </c>
      <c r="H93" s="21">
        <f t="shared" si="26"/>
        <v>50347.939999999995</v>
      </c>
      <c r="I93" s="44">
        <f>SUM(I94:I99)</f>
        <v>2852.21</v>
      </c>
      <c r="J93" s="44">
        <f>SUM(J94:J99)</f>
        <v>2732.56</v>
      </c>
      <c r="K93" s="44">
        <f>SUM(K94:K99)</f>
        <v>3447.5299999999997</v>
      </c>
      <c r="L93" s="44">
        <f>SUM(L94:L99)</f>
        <v>2330.6800000000003</v>
      </c>
      <c r="M93" s="44">
        <f aca="true" t="shared" si="29" ref="M93:T93">SUM(M94:M99)</f>
        <v>3660.8</v>
      </c>
      <c r="N93">
        <f t="shared" si="29"/>
        <v>7200.22</v>
      </c>
      <c r="O93">
        <f t="shared" si="29"/>
        <v>3938.7799999999997</v>
      </c>
      <c r="P93">
        <f t="shared" si="29"/>
        <v>3360.3700000000003</v>
      </c>
      <c r="Q93">
        <f t="shared" si="29"/>
        <v>6472.389999999999</v>
      </c>
      <c r="R93">
        <f t="shared" si="29"/>
        <v>4829.5</v>
      </c>
      <c r="S93">
        <f t="shared" si="29"/>
        <v>4809.19</v>
      </c>
      <c r="T93">
        <f t="shared" si="29"/>
        <v>4713.71</v>
      </c>
    </row>
    <row r="94" spans="1:13" s="25" customFormat="1" ht="12.75">
      <c r="A94" s="22"/>
      <c r="B94" s="22"/>
      <c r="C94" s="22"/>
      <c r="D94" s="22"/>
      <c r="E94" s="22" t="s">
        <v>121</v>
      </c>
      <c r="F94" s="18"/>
      <c r="G94" s="18"/>
      <c r="H94" s="23">
        <f t="shared" si="26"/>
        <v>5351.94</v>
      </c>
      <c r="I94" s="49">
        <v>1781.12</v>
      </c>
      <c r="J94" s="49">
        <v>1783.96</v>
      </c>
      <c r="K94" s="49">
        <v>1786.86</v>
      </c>
      <c r="L94" s="49"/>
      <c r="M94" s="49"/>
    </row>
    <row r="95" spans="1:20" s="25" customFormat="1" ht="12.75">
      <c r="A95" s="22"/>
      <c r="B95" s="22"/>
      <c r="C95" s="22"/>
      <c r="D95" s="22"/>
      <c r="E95" s="22" t="s">
        <v>86</v>
      </c>
      <c r="F95" s="18"/>
      <c r="G95" s="18"/>
      <c r="H95" s="23">
        <f t="shared" si="26"/>
        <v>5900.299999999999</v>
      </c>
      <c r="I95" s="49"/>
      <c r="J95" s="49">
        <v>238.5</v>
      </c>
      <c r="K95" s="49"/>
      <c r="L95" s="49"/>
      <c r="M95" s="49">
        <v>808.65</v>
      </c>
      <c r="N95" s="49">
        <v>4625</v>
      </c>
      <c r="O95" s="49">
        <v>0</v>
      </c>
      <c r="P95" s="49">
        <v>228.15</v>
      </c>
      <c r="Q95" s="49"/>
      <c r="R95" s="49"/>
      <c r="S95" s="49"/>
      <c r="T95" s="49"/>
    </row>
    <row r="96" spans="1:20" s="25" customFormat="1" ht="12.75">
      <c r="A96" s="22"/>
      <c r="B96" s="22"/>
      <c r="C96" s="22"/>
      <c r="D96" s="22"/>
      <c r="E96" s="26" t="s">
        <v>107</v>
      </c>
      <c r="F96" s="18"/>
      <c r="G96" s="18"/>
      <c r="H96" s="23">
        <f t="shared" si="26"/>
        <v>18110.16</v>
      </c>
      <c r="I96" s="49"/>
      <c r="J96" s="49"/>
      <c r="K96" s="49"/>
      <c r="L96" s="49">
        <v>1168.2</v>
      </c>
      <c r="M96" s="49">
        <v>1172.83</v>
      </c>
      <c r="N96" s="49">
        <v>1177.47</v>
      </c>
      <c r="O96" s="49">
        <v>2194.54</v>
      </c>
      <c r="P96" s="49">
        <v>2203.57</v>
      </c>
      <c r="Q96" s="49">
        <v>2212.64</v>
      </c>
      <c r="R96" s="49">
        <v>2405.08</v>
      </c>
      <c r="S96" s="49">
        <v>2230.88</v>
      </c>
      <c r="T96" s="49">
        <v>3344.95</v>
      </c>
    </row>
    <row r="97" spans="1:20" s="25" customFormat="1" ht="12.75">
      <c r="A97" s="22"/>
      <c r="B97" s="22"/>
      <c r="C97" s="22"/>
      <c r="D97" s="22"/>
      <c r="E97" s="26" t="s">
        <v>87</v>
      </c>
      <c r="F97" s="18"/>
      <c r="G97" s="18"/>
      <c r="H97" s="23">
        <f t="shared" si="26"/>
        <v>13375.15</v>
      </c>
      <c r="I97" s="49">
        <v>683.59</v>
      </c>
      <c r="J97" s="49">
        <v>710.1</v>
      </c>
      <c r="K97" s="49">
        <v>375.9</v>
      </c>
      <c r="L97" s="49">
        <v>787.24</v>
      </c>
      <c r="M97" s="49">
        <v>807.34</v>
      </c>
      <c r="N97" s="49">
        <v>981.17</v>
      </c>
      <c r="O97" s="49">
        <v>1347.33</v>
      </c>
      <c r="P97" s="49">
        <v>705.38</v>
      </c>
      <c r="Q97" s="49">
        <v>1784.35</v>
      </c>
      <c r="R97" s="49">
        <v>2035.25</v>
      </c>
      <c r="S97" s="49">
        <v>2350.16</v>
      </c>
      <c r="T97" s="49">
        <v>807.34</v>
      </c>
    </row>
    <row r="98" spans="1:20" s="25" customFormat="1" ht="12.75">
      <c r="A98" s="22"/>
      <c r="B98" s="22"/>
      <c r="C98" s="22"/>
      <c r="D98" s="22"/>
      <c r="E98" s="26" t="s">
        <v>88</v>
      </c>
      <c r="F98" s="18"/>
      <c r="G98" s="18"/>
      <c r="H98" s="23">
        <f t="shared" si="26"/>
        <v>6297.74</v>
      </c>
      <c r="I98" s="49">
        <v>387.5</v>
      </c>
      <c r="J98" s="49"/>
      <c r="K98" s="49">
        <f>1059.77+225</f>
        <v>1284.77</v>
      </c>
      <c r="L98" s="49">
        <v>196.5</v>
      </c>
      <c r="M98" s="49">
        <v>697.88</v>
      </c>
      <c r="N98" s="49">
        <v>247.12</v>
      </c>
      <c r="O98" s="49">
        <v>187.5</v>
      </c>
      <c r="P98" s="49">
        <v>22.5</v>
      </c>
      <c r="Q98" s="49">
        <v>2475.4</v>
      </c>
      <c r="R98" s="49">
        <v>389.17</v>
      </c>
      <c r="S98" s="49">
        <v>228.15</v>
      </c>
      <c r="T98" s="49">
        <v>181.25</v>
      </c>
    </row>
    <row r="99" spans="5:20" ht="12.75">
      <c r="E99" s="26" t="s">
        <v>122</v>
      </c>
      <c r="H99" s="21">
        <f t="shared" si="26"/>
        <v>1312.65</v>
      </c>
      <c r="I99" s="44"/>
      <c r="L99" s="49">
        <v>178.74</v>
      </c>
      <c r="M99" s="49">
        <v>174.1</v>
      </c>
      <c r="N99" s="49">
        <v>169.46</v>
      </c>
      <c r="O99" s="49">
        <v>209.41</v>
      </c>
      <c r="P99" s="49">
        <v>200.77</v>
      </c>
      <c r="Q99" s="49"/>
      <c r="R99" s="49"/>
      <c r="S99" s="49"/>
      <c r="T99" s="49">
        <f>49.2+330.97</f>
        <v>380.17</v>
      </c>
    </row>
    <row r="100" spans="9:20" ht="12.75">
      <c r="I100" s="44"/>
      <c r="M100" s="44" t="s">
        <v>123</v>
      </c>
      <c r="N100" s="44" t="s">
        <v>124</v>
      </c>
      <c r="O100" s="44" t="s">
        <v>125</v>
      </c>
      <c r="P100" s="44" t="s">
        <v>126</v>
      </c>
      <c r="Q100" s="44" t="s">
        <v>127</v>
      </c>
      <c r="R100" s="44" t="s">
        <v>128</v>
      </c>
      <c r="S100" s="44" t="s">
        <v>129</v>
      </c>
      <c r="T100" s="44" t="s">
        <v>130</v>
      </c>
    </row>
    <row r="101" ht="12.75">
      <c r="I101" s="44"/>
    </row>
    <row r="102" spans="5:20" ht="15.75">
      <c r="E102" s="95" t="s">
        <v>254</v>
      </c>
      <c r="F102" s="18">
        <v>0</v>
      </c>
      <c r="G102" s="18">
        <v>262448.64</v>
      </c>
      <c r="H102" s="21">
        <f>SUM(I102:T102)</f>
        <v>357696.39999999997</v>
      </c>
      <c r="I102" s="44">
        <v>29104.38</v>
      </c>
      <c r="J102" s="44">
        <v>29207.59</v>
      </c>
      <c r="K102" s="44">
        <v>30041.5</v>
      </c>
      <c r="L102" s="49">
        <v>29411.68</v>
      </c>
      <c r="M102" s="49">
        <v>29752.58</v>
      </c>
      <c r="N102" s="49">
        <v>29618.11</v>
      </c>
      <c r="O102" s="49">
        <v>29952.36</v>
      </c>
      <c r="P102" s="49">
        <v>29826.89</v>
      </c>
      <c r="Q102" s="49">
        <v>29930.11</v>
      </c>
      <c r="R102" s="49">
        <v>30254.29</v>
      </c>
      <c r="S102" s="49">
        <v>30138.89</v>
      </c>
      <c r="T102" s="49">
        <v>30458.02</v>
      </c>
    </row>
    <row r="103" spans="5:20" ht="15.75">
      <c r="E103" s="95" t="s">
        <v>255</v>
      </c>
      <c r="F103" s="18">
        <v>0</v>
      </c>
      <c r="G103" s="18">
        <v>75516.23</v>
      </c>
      <c r="H103" s="21">
        <f>SUM(I103:T103)</f>
        <v>65968.53</v>
      </c>
      <c r="I103" s="44">
        <v>6155.43</v>
      </c>
      <c r="J103" s="44">
        <v>6075.68</v>
      </c>
      <c r="K103" s="44">
        <v>5176.24</v>
      </c>
      <c r="L103" s="49">
        <v>5651.08</v>
      </c>
      <c r="M103" s="49">
        <v>5393.88</v>
      </c>
      <c r="N103" s="49">
        <v>5496.26</v>
      </c>
      <c r="O103" s="49">
        <v>5244.04</v>
      </c>
      <c r="P103" s="49">
        <v>5339.09</v>
      </c>
      <c r="Q103" s="49">
        <v>5571.32</v>
      </c>
      <c r="R103" s="49">
        <v>5312.14</v>
      </c>
      <c r="S103" s="49">
        <v>5404.77</v>
      </c>
      <c r="T103" s="49">
        <v>5148.6</v>
      </c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  <row r="168" ht="12.75">
      <c r="I168" s="44"/>
    </row>
    <row r="169" ht="12.75">
      <c r="I169" s="44"/>
    </row>
    <row r="170" ht="12.75">
      <c r="I170" s="44"/>
    </row>
    <row r="171" ht="12.75">
      <c r="I171" s="44"/>
    </row>
    <row r="172" ht="12.75">
      <c r="I172" s="44"/>
    </row>
    <row r="173" ht="12.75">
      <c r="I173" s="44"/>
    </row>
  </sheetData>
  <sheetProtection/>
  <mergeCells count="3">
    <mergeCell ref="F64:F66"/>
    <mergeCell ref="G64:G66"/>
    <mergeCell ref="G67:G70"/>
  </mergeCells>
  <printOptions/>
  <pageMargins left="0.75" right="0.75" top="1" bottom="1" header="0.5" footer="0.5"/>
  <pageSetup fitToHeight="2" horizontalDpi="600" verticalDpi="600" orientation="landscape" paperSize="9" scale="56" r:id="rId3"/>
  <headerFooter alignWithMargins="0">
    <oddHeader>&amp;C&amp;F  &amp;D&amp;RKuusalu soojusenergia  &amp;A
</oddHeader>
    <oddFooter>&amp;C&amp;F &amp;D&amp;RKuusalu soojusenergia tegevusala nr &amp;A</oddFooter>
  </headerFooter>
  <rowBreaks count="1" manualBreakCount="1">
    <brk id="6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PageLayoutView="0" workbookViewId="0" topLeftCell="A1">
      <pane xSplit="8" ySplit="2" topLeftCell="S33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T6" sqref="T6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94</v>
      </c>
      <c r="O2" s="5" t="s">
        <v>95</v>
      </c>
      <c r="P2" s="5" t="s">
        <v>96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2313685.83</v>
      </c>
      <c r="G3" s="4">
        <f>G4+G8+G12</f>
        <v>2401842.73</v>
      </c>
      <c r="H3" s="7">
        <f>SUM(I3:T3)</f>
        <v>2540530.5600000005</v>
      </c>
      <c r="I3" s="40">
        <f>I4+I8+I12</f>
        <v>451287.63</v>
      </c>
      <c r="J3" s="40">
        <f>J4+J8+J12</f>
        <v>397863.43</v>
      </c>
      <c r="K3" s="40">
        <f>K4+K8+K12</f>
        <v>316869.48000000004</v>
      </c>
      <c r="L3" s="40">
        <f>L4+L8+L12</f>
        <v>212191.97999999998</v>
      </c>
      <c r="M3" s="40">
        <f aca="true" t="shared" si="0" ref="M3:T3">M4+M8+M12</f>
        <v>95921.33</v>
      </c>
      <c r="N3" s="4">
        <f t="shared" si="0"/>
        <v>20176.980000000003</v>
      </c>
      <c r="O3" s="4">
        <f t="shared" si="0"/>
        <v>26195.83</v>
      </c>
      <c r="P3" s="4">
        <f t="shared" si="0"/>
        <v>26663.33</v>
      </c>
      <c r="Q3" s="4">
        <f t="shared" si="0"/>
        <v>88037.58</v>
      </c>
      <c r="R3" s="4">
        <f t="shared" si="0"/>
        <v>237870.47999999998</v>
      </c>
      <c r="S3" s="4">
        <f t="shared" si="0"/>
        <v>275437.08</v>
      </c>
      <c r="T3" s="4">
        <f t="shared" si="0"/>
        <v>392015.43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2093685.87</v>
      </c>
      <c r="G4" s="4">
        <f>G5</f>
        <v>2181842.77</v>
      </c>
      <c r="H4" s="7">
        <f aca="true" t="shared" si="1" ref="H4:H60">SUM(I4:T4)</f>
        <v>2320530.5999999996</v>
      </c>
      <c r="I4" s="40">
        <f>I5</f>
        <v>432954.3</v>
      </c>
      <c r="J4" s="40">
        <f>J5</f>
        <v>379530.1</v>
      </c>
      <c r="K4" s="40">
        <f>K5</f>
        <v>298536.15</v>
      </c>
      <c r="L4" s="40">
        <f>L5</f>
        <v>193858.65</v>
      </c>
      <c r="M4" s="40">
        <f aca="true" t="shared" si="2" ref="M4:T4">M5</f>
        <v>77588</v>
      </c>
      <c r="N4" s="4">
        <f t="shared" si="2"/>
        <v>1843.65</v>
      </c>
      <c r="O4" s="4">
        <f t="shared" si="2"/>
        <v>7862.5</v>
      </c>
      <c r="P4" s="4">
        <f t="shared" si="2"/>
        <v>8330</v>
      </c>
      <c r="Q4" s="4">
        <f t="shared" si="2"/>
        <v>69704.25</v>
      </c>
      <c r="R4" s="4">
        <f t="shared" si="2"/>
        <v>219537.15</v>
      </c>
      <c r="S4" s="4">
        <f t="shared" si="2"/>
        <v>257103.75000000003</v>
      </c>
      <c r="T4" s="4">
        <f t="shared" si="2"/>
        <v>373682.1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2093685.87</v>
      </c>
      <c r="G5" s="4">
        <f>G7</f>
        <v>2181842.77</v>
      </c>
      <c r="H5" s="7">
        <f t="shared" si="1"/>
        <v>2320530.5999999996</v>
      </c>
      <c r="I5" s="40">
        <f>I7</f>
        <v>432954.3</v>
      </c>
      <c r="J5" s="40">
        <f>J7</f>
        <v>379530.1</v>
      </c>
      <c r="K5" s="40">
        <f>K7</f>
        <v>298536.15</v>
      </c>
      <c r="L5" s="40">
        <f>L7</f>
        <v>193858.65</v>
      </c>
      <c r="M5" s="40">
        <f aca="true" t="shared" si="3" ref="M5:T5">M7</f>
        <v>77588</v>
      </c>
      <c r="N5" s="4">
        <f t="shared" si="3"/>
        <v>1843.65</v>
      </c>
      <c r="O5" s="4">
        <f t="shared" si="3"/>
        <v>7862.5</v>
      </c>
      <c r="P5" s="4">
        <f t="shared" si="3"/>
        <v>8330</v>
      </c>
      <c r="Q5" s="4">
        <f t="shared" si="3"/>
        <v>69704.25</v>
      </c>
      <c r="R5" s="4">
        <f t="shared" si="3"/>
        <v>219537.15</v>
      </c>
      <c r="S5" s="4">
        <f t="shared" si="3"/>
        <v>257103.75000000003</v>
      </c>
      <c r="T5" s="4">
        <f t="shared" si="3"/>
        <v>373682.1</v>
      </c>
    </row>
    <row r="6" spans="1:20" s="11" customFormat="1" ht="11.25">
      <c r="A6" s="8"/>
      <c r="B6" s="8"/>
      <c r="C6" s="8"/>
      <c r="D6" s="8"/>
      <c r="E6" s="8" t="s">
        <v>9</v>
      </c>
      <c r="F6" s="9">
        <v>2752.88</v>
      </c>
      <c r="G6" s="9">
        <v>2625.39</v>
      </c>
      <c r="H6" s="10">
        <f t="shared" si="1"/>
        <v>2730.093</v>
      </c>
      <c r="I6" s="41">
        <f aca="true" t="shared" si="4" ref="I6:T7">I77</f>
        <v>509.36</v>
      </c>
      <c r="J6" s="41">
        <f t="shared" si="4"/>
        <v>446.51</v>
      </c>
      <c r="K6" s="41">
        <f t="shared" si="4"/>
        <v>351.27</v>
      </c>
      <c r="L6" s="41">
        <f t="shared" si="4"/>
        <v>228.069</v>
      </c>
      <c r="M6" s="41">
        <f t="shared" si="4"/>
        <v>91.28</v>
      </c>
      <c r="N6" s="9">
        <f t="shared" si="4"/>
        <v>2.169</v>
      </c>
      <c r="O6" s="9">
        <f t="shared" si="4"/>
        <v>9.25</v>
      </c>
      <c r="P6" s="9">
        <f t="shared" si="4"/>
        <v>9.8</v>
      </c>
      <c r="Q6" s="9">
        <f t="shared" si="4"/>
        <v>82.005</v>
      </c>
      <c r="R6" s="9">
        <f t="shared" si="4"/>
        <v>258.279</v>
      </c>
      <c r="S6" s="9">
        <f t="shared" si="4"/>
        <v>302.475</v>
      </c>
      <c r="T6" s="9">
        <f t="shared" si="4"/>
        <v>439.626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2093685.87</v>
      </c>
      <c r="G7" s="13">
        <v>2181842.77</v>
      </c>
      <c r="H7" s="10">
        <f t="shared" si="1"/>
        <v>2320530.5999999996</v>
      </c>
      <c r="I7" s="38">
        <f t="shared" si="4"/>
        <v>432954.3</v>
      </c>
      <c r="J7" s="38">
        <f t="shared" si="4"/>
        <v>379530.1</v>
      </c>
      <c r="K7" s="38">
        <f t="shared" si="4"/>
        <v>298536.15</v>
      </c>
      <c r="L7" s="38">
        <f t="shared" si="4"/>
        <v>193858.65</v>
      </c>
      <c r="M7" s="38">
        <f t="shared" si="4"/>
        <v>77588</v>
      </c>
      <c r="N7" s="13">
        <f t="shared" si="4"/>
        <v>1843.65</v>
      </c>
      <c r="O7" s="13">
        <f t="shared" si="4"/>
        <v>7862.5</v>
      </c>
      <c r="P7" s="13">
        <f t="shared" si="4"/>
        <v>8330</v>
      </c>
      <c r="Q7" s="13">
        <f t="shared" si="4"/>
        <v>69704.25</v>
      </c>
      <c r="R7" s="13">
        <f t="shared" si="4"/>
        <v>219537.15</v>
      </c>
      <c r="S7" s="13">
        <f t="shared" si="4"/>
        <v>257103.75000000003</v>
      </c>
      <c r="T7" s="13">
        <f t="shared" si="4"/>
        <v>373682.1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219999.96</v>
      </c>
      <c r="G8" s="4">
        <f>G9+G11</f>
        <v>219999.96</v>
      </c>
      <c r="H8" s="7">
        <f t="shared" si="1"/>
        <v>219999.96000000008</v>
      </c>
      <c r="I8" s="40">
        <f>I9+I11</f>
        <v>18333.33</v>
      </c>
      <c r="J8" s="40">
        <f>J9+J11</f>
        <v>18333.33</v>
      </c>
      <c r="K8" s="40">
        <f>K9+K11</f>
        <v>18333.33</v>
      </c>
      <c r="L8" s="40">
        <f>L9+L11</f>
        <v>18333.33</v>
      </c>
      <c r="M8" s="40">
        <f aca="true" t="shared" si="5" ref="M8:T8">M9+M11</f>
        <v>18333.33</v>
      </c>
      <c r="N8" s="4">
        <f t="shared" si="5"/>
        <v>18333.33</v>
      </c>
      <c r="O8" s="4">
        <f t="shared" si="5"/>
        <v>18333.33</v>
      </c>
      <c r="P8" s="4">
        <f t="shared" si="5"/>
        <v>18333.33</v>
      </c>
      <c r="Q8" s="4">
        <f t="shared" si="5"/>
        <v>18333.33</v>
      </c>
      <c r="R8" s="4">
        <f t="shared" si="5"/>
        <v>18333.33</v>
      </c>
      <c r="S8" s="4">
        <f t="shared" si="5"/>
        <v>18333.33</v>
      </c>
      <c r="T8" s="4">
        <f t="shared" si="5"/>
        <v>18333.33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219999.96</v>
      </c>
      <c r="G9" s="4">
        <f>G10</f>
        <v>219999.96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219999.96</v>
      </c>
      <c r="G10" s="13">
        <v>219999.96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0</v>
      </c>
      <c r="H11" s="7">
        <f t="shared" si="1"/>
        <v>219999.96000000008</v>
      </c>
      <c r="I11" s="40">
        <v>18333.33</v>
      </c>
      <c r="J11" s="40">
        <v>18333.33</v>
      </c>
      <c r="K11" s="40">
        <v>18333.33</v>
      </c>
      <c r="L11" s="40">
        <v>18333.33</v>
      </c>
      <c r="M11" s="40">
        <v>18333.33</v>
      </c>
      <c r="N11" s="4">
        <v>18333.33</v>
      </c>
      <c r="O11" s="13">
        <v>18333.33</v>
      </c>
      <c r="P11" s="13">
        <v>18333.33</v>
      </c>
      <c r="Q11" s="13">
        <v>18333.33</v>
      </c>
      <c r="R11" s="13">
        <v>18333.33</v>
      </c>
      <c r="S11" s="13">
        <v>18333.33</v>
      </c>
      <c r="T11" s="13">
        <v>18333.33</v>
      </c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0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0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8" ref="I15:T16">I16</f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-1616174.5999999999</v>
      </c>
      <c r="G18" s="4">
        <f>G19+G27</f>
        <v>-1732797.8199999998</v>
      </c>
      <c r="H18" s="7">
        <f t="shared" si="1"/>
        <v>-1901035.38</v>
      </c>
      <c r="I18" s="40">
        <f>I19+I27</f>
        <v>-262184.73</v>
      </c>
      <c r="J18" s="40">
        <f>J19+J27</f>
        <v>-235648.38</v>
      </c>
      <c r="K18" s="40">
        <f>K19+K27</f>
        <v>-171260.96</v>
      </c>
      <c r="L18" s="40">
        <f>L19+L27</f>
        <v>-152131.38</v>
      </c>
      <c r="M18" s="40">
        <f aca="true" t="shared" si="9" ref="M18:T18">M19+M27</f>
        <v>-175695.92</v>
      </c>
      <c r="N18" s="4">
        <f t="shared" si="9"/>
        <v>-57607.72</v>
      </c>
      <c r="O18" s="4">
        <f t="shared" si="9"/>
        <v>-69189.04999999999</v>
      </c>
      <c r="P18" s="4">
        <f t="shared" si="9"/>
        <v>-51815.19</v>
      </c>
      <c r="Q18" s="4">
        <f t="shared" si="9"/>
        <v>-105776.95</v>
      </c>
      <c r="R18" s="4">
        <f t="shared" si="9"/>
        <v>-168174.87</v>
      </c>
      <c r="S18" s="4">
        <f t="shared" si="9"/>
        <v>-185297.54</v>
      </c>
      <c r="T18" s="4">
        <f t="shared" si="9"/>
        <v>-266252.69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-270729.79</v>
      </c>
      <c r="G19" s="4">
        <f>G20+G26+G23</f>
        <v>-254139.4</v>
      </c>
      <c r="H19" s="7">
        <f t="shared" si="1"/>
        <v>-244911.53</v>
      </c>
      <c r="I19" s="40">
        <f>I20+I26+I23</f>
        <v>-21173</v>
      </c>
      <c r="J19" s="40">
        <f>J20+J26+J23</f>
        <v>-21172</v>
      </c>
      <c r="K19" s="40">
        <f>K20+K26+K23</f>
        <v>-21172</v>
      </c>
      <c r="L19" s="40">
        <f>L20+L26+L23</f>
        <v>-21172</v>
      </c>
      <c r="M19" s="40">
        <f aca="true" t="shared" si="10" ref="M19:T19">M20+M26+M23</f>
        <v>-23622.95</v>
      </c>
      <c r="N19" s="4">
        <f t="shared" si="10"/>
        <v>-15815.65</v>
      </c>
      <c r="O19" s="4">
        <f t="shared" si="10"/>
        <v>-33103.899999999994</v>
      </c>
      <c r="P19" s="4">
        <f t="shared" si="10"/>
        <v>-8119.780000000001</v>
      </c>
      <c r="Q19" s="4">
        <f t="shared" si="10"/>
        <v>-9196.6</v>
      </c>
      <c r="R19" s="4">
        <f t="shared" si="10"/>
        <v>-25096.9</v>
      </c>
      <c r="S19" s="4">
        <f t="shared" si="10"/>
        <v>-20357.5</v>
      </c>
      <c r="T19" s="4">
        <f t="shared" si="10"/>
        <v>-24909.25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-203096.83</v>
      </c>
      <c r="G20" s="4">
        <f>SUM(G21:G22)</f>
        <v>-189782.4</v>
      </c>
      <c r="H20" s="7">
        <f t="shared" si="1"/>
        <v>-182389.53</v>
      </c>
      <c r="I20" s="40">
        <f>SUM(I21:I22)</f>
        <v>-15752</v>
      </c>
      <c r="J20" s="40">
        <f>SUM(J21:J22)</f>
        <v>-15752</v>
      </c>
      <c r="K20" s="40">
        <f>SUM(K21:K22)</f>
        <v>-15752</v>
      </c>
      <c r="L20" s="40">
        <f>SUM(L21:L22)</f>
        <v>-15752</v>
      </c>
      <c r="M20" s="40">
        <f aca="true" t="shared" si="11" ref="M20:T20">SUM(M21:M22)</f>
        <v>-17655.95</v>
      </c>
      <c r="N20" s="4">
        <f t="shared" si="11"/>
        <v>-11768.65</v>
      </c>
      <c r="O20" s="4">
        <f t="shared" si="11"/>
        <v>-24716.899999999998</v>
      </c>
      <c r="P20" s="4">
        <f t="shared" si="11"/>
        <v>-6041.780000000001</v>
      </c>
      <c r="Q20" s="4">
        <f t="shared" si="11"/>
        <v>-6841.6</v>
      </c>
      <c r="R20" s="4">
        <f t="shared" si="11"/>
        <v>-18674.9</v>
      </c>
      <c r="S20" s="4">
        <f t="shared" si="11"/>
        <v>-15147.5</v>
      </c>
      <c r="T20" s="4">
        <f t="shared" si="11"/>
        <v>-18534.25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-203096.83</v>
      </c>
      <c r="G21" s="13">
        <v>-189782.4</v>
      </c>
      <c r="H21" s="10">
        <f t="shared" si="1"/>
        <v>-160718.09999999998</v>
      </c>
      <c r="I21" s="38">
        <v>-15752</v>
      </c>
      <c r="J21" s="38"/>
      <c r="K21" s="38">
        <v>-15752</v>
      </c>
      <c r="L21" s="38">
        <v>-15752</v>
      </c>
      <c r="M21" s="38">
        <v>-17655.95</v>
      </c>
      <c r="N21" s="13">
        <f>N62*-1</f>
        <v>-11768.65</v>
      </c>
      <c r="O21" s="13">
        <f>-1*O62</f>
        <v>-24716.899999999998</v>
      </c>
      <c r="P21" s="13">
        <v>-3952.5</v>
      </c>
      <c r="Q21" s="13">
        <v>-4314.45</v>
      </c>
      <c r="R21" s="13">
        <f>-1*R62</f>
        <v>-18674.9</v>
      </c>
      <c r="S21" s="13">
        <v>-15147.5</v>
      </c>
      <c r="T21" s="13">
        <v>-17231.25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-21671.43</v>
      </c>
      <c r="I22" s="38"/>
      <c r="J22" s="38">
        <v>-15752</v>
      </c>
      <c r="K22" s="38"/>
      <c r="L22" s="38"/>
      <c r="M22" s="38"/>
      <c r="N22" s="13"/>
      <c r="O22" s="13"/>
      <c r="P22" s="13">
        <v>-2089.28</v>
      </c>
      <c r="Q22" s="13">
        <v>-2527.15</v>
      </c>
      <c r="R22" s="13"/>
      <c r="S22" s="13"/>
      <c r="T22" s="13">
        <v>-1303</v>
      </c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-67632.96</v>
      </c>
      <c r="G26" s="4">
        <v>-64357</v>
      </c>
      <c r="H26" s="7">
        <f t="shared" si="1"/>
        <v>-62522</v>
      </c>
      <c r="I26" s="40">
        <v>-5421</v>
      </c>
      <c r="J26" s="40">
        <v>-5420</v>
      </c>
      <c r="K26" s="40">
        <v>-5420</v>
      </c>
      <c r="L26" s="40">
        <v>-5420</v>
      </c>
      <c r="M26" s="40">
        <v>-5967</v>
      </c>
      <c r="N26" s="4">
        <f>(N72+N73)*-1</f>
        <v>-4047</v>
      </c>
      <c r="O26" s="4">
        <v>-8387</v>
      </c>
      <c r="P26" s="4">
        <v>-2078</v>
      </c>
      <c r="Q26" s="4">
        <f>(Q72+Q73)*-1</f>
        <v>-2355</v>
      </c>
      <c r="R26" s="4">
        <f>(R72+R73)*-1</f>
        <v>-6422</v>
      </c>
      <c r="S26" s="4">
        <v>-5210</v>
      </c>
      <c r="T26" s="4">
        <v>-6375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-1345444.8099999998</v>
      </c>
      <c r="G27" s="4">
        <f>SUM(G28:G41)</f>
        <v>-1478658.42</v>
      </c>
      <c r="H27" s="7">
        <f t="shared" si="1"/>
        <v>-1656123.8499999999</v>
      </c>
      <c r="I27" s="40">
        <f>SUM(I28:I41)</f>
        <v>-241011.73</v>
      </c>
      <c r="J27" s="40">
        <f aca="true" t="shared" si="13" ref="J27:T27">SUM(J28:J41)</f>
        <v>-214476.38</v>
      </c>
      <c r="K27" s="40">
        <f t="shared" si="13"/>
        <v>-150088.96</v>
      </c>
      <c r="L27" s="40">
        <f t="shared" si="13"/>
        <v>-130959.38</v>
      </c>
      <c r="M27" s="40">
        <f t="shared" si="13"/>
        <v>-152072.97</v>
      </c>
      <c r="N27" s="4">
        <f t="shared" si="13"/>
        <v>-41792.07</v>
      </c>
      <c r="O27" s="4">
        <f t="shared" si="13"/>
        <v>-36085.15</v>
      </c>
      <c r="P27" s="4">
        <f t="shared" si="13"/>
        <v>-43695.41</v>
      </c>
      <c r="Q27" s="4">
        <f t="shared" si="13"/>
        <v>-96580.34999999999</v>
      </c>
      <c r="R27" s="4">
        <f t="shared" si="13"/>
        <v>-143077.97</v>
      </c>
      <c r="S27" s="4">
        <f t="shared" si="13"/>
        <v>-164940.04</v>
      </c>
      <c r="T27" s="4">
        <f t="shared" si="13"/>
        <v>-241343.44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-8212.93</v>
      </c>
      <c r="G28" s="13">
        <v>-5720.96</v>
      </c>
      <c r="H28" s="10">
        <f t="shared" si="1"/>
        <v>-22002.359999999997</v>
      </c>
      <c r="I28" s="38">
        <v>-520.66</v>
      </c>
      <c r="J28" s="38">
        <v>-437.32</v>
      </c>
      <c r="K28" s="38">
        <v>-355.73</v>
      </c>
      <c r="L28" s="38">
        <v>-453.3</v>
      </c>
      <c r="M28" s="38">
        <v>-109.89</v>
      </c>
      <c r="N28" s="13">
        <v>-689.08</v>
      </c>
      <c r="O28" s="13">
        <v>-5225.03</v>
      </c>
      <c r="P28" s="13">
        <v>-145.11</v>
      </c>
      <c r="Q28" s="13">
        <v>-570.17</v>
      </c>
      <c r="R28" s="13">
        <v>-11732.21</v>
      </c>
      <c r="S28" s="13">
        <v>-1154.19</v>
      </c>
      <c r="T28" s="13">
        <v>-609.67</v>
      </c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-11700</v>
      </c>
      <c r="I29" s="38"/>
      <c r="J29" s="38"/>
      <c r="K29" s="38"/>
      <c r="L29" s="38"/>
      <c r="M29" s="38"/>
      <c r="N29" s="13"/>
      <c r="O29" s="13"/>
      <c r="P29" s="13"/>
      <c r="Q29" s="13">
        <v>-5625</v>
      </c>
      <c r="R29" s="13">
        <v>-6075</v>
      </c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-37763.17</v>
      </c>
      <c r="G30" s="13">
        <v>-53664.22</v>
      </c>
      <c r="H30" s="10">
        <f t="shared" si="1"/>
        <v>-11857.09</v>
      </c>
      <c r="I30" s="38">
        <v>-671.52</v>
      </c>
      <c r="J30" s="38">
        <v>-691.54</v>
      </c>
      <c r="K30" s="38">
        <v>-775.17</v>
      </c>
      <c r="L30" s="38">
        <v>-569.67</v>
      </c>
      <c r="M30" s="38">
        <v>-369.67</v>
      </c>
      <c r="N30" s="13">
        <v>-403.71</v>
      </c>
      <c r="O30" s="13">
        <v>-369.67</v>
      </c>
      <c r="P30" s="13">
        <v>-1402.46</v>
      </c>
      <c r="Q30" s="13">
        <v>-3154.67</v>
      </c>
      <c r="R30" s="13">
        <v>-369.67</v>
      </c>
      <c r="S30" s="13">
        <v>-369.67</v>
      </c>
      <c r="T30" s="13">
        <v>-2709.67</v>
      </c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-165684.09</v>
      </c>
      <c r="G31" s="13">
        <v>-191549.25</v>
      </c>
      <c r="H31" s="10">
        <f t="shared" si="1"/>
        <v>-199843.78999999995</v>
      </c>
      <c r="I31" s="38">
        <v>-28154.61</v>
      </c>
      <c r="J31" s="38">
        <v>-18532.21</v>
      </c>
      <c r="K31" s="38">
        <v>-19708.42</v>
      </c>
      <c r="L31" s="38">
        <v>-14515.61</v>
      </c>
      <c r="M31" s="38">
        <v>-10010.23</v>
      </c>
      <c r="N31" s="13">
        <v>-5240.47</v>
      </c>
      <c r="O31" s="13">
        <v>-7782.86</v>
      </c>
      <c r="P31" s="13">
        <v>-13137.2</v>
      </c>
      <c r="Q31" s="13">
        <f>-30367.67+5900</f>
        <v>-24467.67</v>
      </c>
      <c r="R31" s="13">
        <v>-17753.4</v>
      </c>
      <c r="S31" s="13">
        <v>-15366.52</v>
      </c>
      <c r="T31" s="13">
        <v>-25174.59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-67681.48</v>
      </c>
      <c r="G32" s="13">
        <v>-65456.51</v>
      </c>
      <c r="H32" s="10">
        <f t="shared" si="1"/>
        <v>-26401.38</v>
      </c>
      <c r="I32" s="38">
        <v>-2918.26</v>
      </c>
      <c r="J32" s="38">
        <v>-3421.64</v>
      </c>
      <c r="K32" s="38">
        <v>-3477.68</v>
      </c>
      <c r="L32" s="38">
        <v>-3653.39</v>
      </c>
      <c r="M32" s="38">
        <v>-1580.5</v>
      </c>
      <c r="N32" s="13">
        <v>-3322.08</v>
      </c>
      <c r="O32" s="13">
        <v>-884.74</v>
      </c>
      <c r="P32" s="13">
        <v>-727.87</v>
      </c>
      <c r="Q32" s="13">
        <v>-2014.45</v>
      </c>
      <c r="R32" s="13">
        <v>-1743.45</v>
      </c>
      <c r="S32" s="13">
        <v>-2032.36</v>
      </c>
      <c r="T32" s="13">
        <v>-624.96</v>
      </c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>
        <v>-6158.81</v>
      </c>
      <c r="G33" s="13">
        <v>-301.27</v>
      </c>
      <c r="H33" s="10">
        <f t="shared" si="1"/>
        <v>-641.66</v>
      </c>
      <c r="I33" s="38"/>
      <c r="J33" s="38"/>
      <c r="K33" s="38">
        <v>-333.33</v>
      </c>
      <c r="L33" s="38">
        <v>-308.33</v>
      </c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-16152.73</v>
      </c>
      <c r="G34" s="13">
        <v>-2749.48</v>
      </c>
      <c r="H34" s="10">
        <f t="shared" si="1"/>
        <v>-4482.85</v>
      </c>
      <c r="I34" s="38">
        <v>-4267.02</v>
      </c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>
        <v>-215.83</v>
      </c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>
        <v>-33119.89</v>
      </c>
      <c r="G35" s="13">
        <v>-106690.91</v>
      </c>
      <c r="H35" s="10">
        <f t="shared" si="1"/>
        <v>-114000.6</v>
      </c>
      <c r="I35" s="38">
        <v>-8286.14</v>
      </c>
      <c r="J35" s="38">
        <v>-29369.07</v>
      </c>
      <c r="K35" s="38">
        <v>-3788.32</v>
      </c>
      <c r="L35" s="38">
        <v>-17355.59</v>
      </c>
      <c r="M35" s="38">
        <v>-4250</v>
      </c>
      <c r="N35" s="13">
        <v>-9844</v>
      </c>
      <c r="O35" s="13">
        <v>-362.5</v>
      </c>
      <c r="P35" s="13">
        <v>-8423.33</v>
      </c>
      <c r="Q35" s="13">
        <v>-5900</v>
      </c>
      <c r="R35" s="13">
        <v>-1156.67</v>
      </c>
      <c r="S35" s="13">
        <v>-8896.6</v>
      </c>
      <c r="T35" s="13">
        <v>-16368.38</v>
      </c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-1068.64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-1008985.73</v>
      </c>
      <c r="G38" s="13">
        <v>-1049128.65</v>
      </c>
      <c r="H38" s="10">
        <f t="shared" si="1"/>
        <v>-1244637.6400000001</v>
      </c>
      <c r="I38" s="38">
        <v>-192983.73</v>
      </c>
      <c r="J38" s="38">
        <v>-156898.94</v>
      </c>
      <c r="K38" s="38">
        <v>-121650.31</v>
      </c>
      <c r="L38" s="38">
        <v>-94103.49</v>
      </c>
      <c r="M38" s="38">
        <v>-135752.68</v>
      </c>
      <c r="N38" s="13">
        <v>-22292.73</v>
      </c>
      <c r="O38" s="13">
        <v>-21349.48</v>
      </c>
      <c r="P38" s="13">
        <v>-19693.96</v>
      </c>
      <c r="Q38" s="13">
        <v>-54792.97</v>
      </c>
      <c r="R38" s="13">
        <v>-104235.07</v>
      </c>
      <c r="S38" s="13">
        <v>-135402.94</v>
      </c>
      <c r="T38" s="13">
        <v>-185481.34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-568.14</v>
      </c>
      <c r="G39" s="13">
        <v>-3397.17</v>
      </c>
      <c r="H39" s="10">
        <f t="shared" si="1"/>
        <v>-2497.48</v>
      </c>
      <c r="I39" s="38">
        <v>-209.79</v>
      </c>
      <c r="J39" s="38">
        <v>-225.66</v>
      </c>
      <c r="K39" s="38"/>
      <c r="L39" s="38"/>
      <c r="M39" s="38"/>
      <c r="N39" s="13"/>
      <c r="O39" s="13">
        <v>-110.87</v>
      </c>
      <c r="P39" s="13">
        <v>-165.48</v>
      </c>
      <c r="Q39" s="13">
        <v>-55.42</v>
      </c>
      <c r="R39" s="13">
        <v>-12.5</v>
      </c>
      <c r="S39" s="13">
        <v>-1717.76</v>
      </c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-49.2</v>
      </c>
      <c r="G40" s="13">
        <v>0</v>
      </c>
      <c r="H40" s="10">
        <f t="shared" si="1"/>
        <v>-7900</v>
      </c>
      <c r="I40" s="38">
        <v>-3000</v>
      </c>
      <c r="J40" s="38">
        <v>-4900</v>
      </c>
      <c r="K40" s="38"/>
      <c r="L40" s="38"/>
      <c r="M40" s="38"/>
      <c r="N40" s="13"/>
      <c r="O40" s="13"/>
      <c r="P40" s="13"/>
      <c r="Q40" s="13"/>
      <c r="R40" s="13"/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274</v>
      </c>
      <c r="F41" s="13"/>
      <c r="G41" s="13"/>
      <c r="H41" s="10">
        <f t="shared" si="1"/>
        <v>-10159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>
        <v>-10159</v>
      </c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-541516.13</v>
      </c>
      <c r="G42" s="4">
        <f>G43+G48+G55+G58</f>
        <v>-478105.57</v>
      </c>
      <c r="H42" s="4">
        <f t="shared" si="1"/>
        <v>-446893.98</v>
      </c>
      <c r="I42" s="40">
        <f aca="true" t="shared" si="14" ref="I42:T42">I43+I48+I55+I58</f>
        <v>-36439.62</v>
      </c>
      <c r="J42" s="40">
        <f t="shared" si="14"/>
        <v>-36876.49</v>
      </c>
      <c r="K42" s="40">
        <f t="shared" si="14"/>
        <v>-36038.82</v>
      </c>
      <c r="L42" s="40">
        <f t="shared" si="14"/>
        <v>-36108.01</v>
      </c>
      <c r="M42" s="40">
        <f t="shared" si="14"/>
        <v>-35951.28</v>
      </c>
      <c r="N42" s="4">
        <f t="shared" si="14"/>
        <v>-36843.24</v>
      </c>
      <c r="O42" s="4">
        <f t="shared" si="14"/>
        <v>-36365.36</v>
      </c>
      <c r="P42" s="4">
        <f t="shared" si="14"/>
        <v>-36337.05</v>
      </c>
      <c r="Q42" s="4">
        <f t="shared" si="14"/>
        <v>-36419.85</v>
      </c>
      <c r="R42" s="4">
        <f>R43+R48+R55+R58</f>
        <v>-36994.94</v>
      </c>
      <c r="S42" s="4">
        <f t="shared" si="14"/>
        <v>-36358.47</v>
      </c>
      <c r="T42" s="4">
        <f t="shared" si="14"/>
        <v>-46160.85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-755.3499999999999</v>
      </c>
      <c r="G43" s="4">
        <f>G44+G46+G47</f>
        <v>-25599.18</v>
      </c>
      <c r="H43" s="7">
        <f t="shared" si="1"/>
        <v>-11332.43</v>
      </c>
      <c r="I43" s="40">
        <f aca="true" t="shared" si="15" ref="I43:T43">I44+I46+I47</f>
        <v>0</v>
      </c>
      <c r="J43" s="40">
        <f t="shared" si="15"/>
        <v>-547</v>
      </c>
      <c r="K43" s="40">
        <f t="shared" si="15"/>
        <v>0</v>
      </c>
      <c r="L43" s="40">
        <f t="shared" si="15"/>
        <v>0</v>
      </c>
      <c r="M43" s="40">
        <f t="shared" si="15"/>
        <v>0</v>
      </c>
      <c r="N43" s="4">
        <f t="shared" si="15"/>
        <v>-550.15</v>
      </c>
      <c r="O43" s="4">
        <f t="shared" si="15"/>
        <v>0</v>
      </c>
      <c r="P43" s="4">
        <f t="shared" si="15"/>
        <v>0</v>
      </c>
      <c r="Q43" s="4">
        <f t="shared" si="15"/>
        <v>0</v>
      </c>
      <c r="R43" s="4">
        <f t="shared" si="15"/>
        <v>-547</v>
      </c>
      <c r="S43" s="4">
        <f t="shared" si="15"/>
        <v>0</v>
      </c>
      <c r="T43" s="4">
        <f t="shared" si="15"/>
        <v>-9688.28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-4372</v>
      </c>
      <c r="G44" s="4">
        <f>G45</f>
        <v>-25599.18</v>
      </c>
      <c r="H44" s="7">
        <f t="shared" si="1"/>
        <v>-10631</v>
      </c>
      <c r="I44" s="40">
        <f>I45</f>
        <v>0</v>
      </c>
      <c r="J44" s="40">
        <f>J45</f>
        <v>-547</v>
      </c>
      <c r="K44" s="40">
        <f>K45</f>
        <v>0</v>
      </c>
      <c r="L44" s="40">
        <f>L45</f>
        <v>0</v>
      </c>
      <c r="M44" s="40">
        <f aca="true" t="shared" si="16" ref="M44:T44">M45</f>
        <v>0</v>
      </c>
      <c r="N44" s="4">
        <f t="shared" si="16"/>
        <v>0</v>
      </c>
      <c r="O44" s="4">
        <f t="shared" si="16"/>
        <v>0</v>
      </c>
      <c r="P44" s="4">
        <f t="shared" si="16"/>
        <v>0</v>
      </c>
      <c r="Q44" s="4">
        <f t="shared" si="16"/>
        <v>0</v>
      </c>
      <c r="R44" s="4">
        <f t="shared" si="16"/>
        <v>-547</v>
      </c>
      <c r="S44" s="4">
        <f t="shared" si="16"/>
        <v>0</v>
      </c>
      <c r="T44" s="4">
        <f t="shared" si="16"/>
        <v>-9537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-4372</v>
      </c>
      <c r="G45" s="13">
        <v>-25599.18</v>
      </c>
      <c r="H45" s="10">
        <f t="shared" si="1"/>
        <v>-10631</v>
      </c>
      <c r="I45" s="38"/>
      <c r="J45" s="38">
        <v>-547</v>
      </c>
      <c r="K45" s="38"/>
      <c r="L45" s="38"/>
      <c r="M45" s="38"/>
      <c r="N45" s="13"/>
      <c r="O45" s="13"/>
      <c r="P45" s="13"/>
      <c r="Q45" s="13"/>
      <c r="R45" s="13">
        <v>-547</v>
      </c>
      <c r="S45" s="13"/>
      <c r="T45" s="13">
        <v>-9537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3616.65</v>
      </c>
      <c r="G46" s="15">
        <v>0</v>
      </c>
      <c r="H46" s="7">
        <f t="shared" si="1"/>
        <v>0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/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-701.43</v>
      </c>
      <c r="I47" s="42"/>
      <c r="J47" s="42"/>
      <c r="K47" s="42"/>
      <c r="L47" s="42"/>
      <c r="M47" s="42"/>
      <c r="N47" s="15">
        <v>-550.15</v>
      </c>
      <c r="O47" s="15"/>
      <c r="P47" s="15"/>
      <c r="Q47" s="15"/>
      <c r="R47" s="15"/>
      <c r="S47" s="15"/>
      <c r="T47" s="15">
        <v>-151.28</v>
      </c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-433321.02</v>
      </c>
      <c r="G48" s="4">
        <f>G54+G49</f>
        <v>-399657</v>
      </c>
      <c r="H48" s="7">
        <f t="shared" si="1"/>
        <v>-411826</v>
      </c>
      <c r="I48" s="40">
        <f>I54+I49</f>
        <v>-34261</v>
      </c>
      <c r="J48" s="40">
        <f>J54+J49</f>
        <v>-34262</v>
      </c>
      <c r="K48" s="40">
        <f>K54+K49</f>
        <v>-34261</v>
      </c>
      <c r="L48" s="40">
        <f>L54+L49</f>
        <v>-34258</v>
      </c>
      <c r="M48" s="40">
        <f aca="true" t="shared" si="17" ref="M48:T48">M54+M49</f>
        <v>-34262</v>
      </c>
      <c r="N48" s="4">
        <f t="shared" si="17"/>
        <v>-34262</v>
      </c>
      <c r="O48" s="4">
        <f t="shared" si="17"/>
        <v>-34258</v>
      </c>
      <c r="P48" s="4">
        <f t="shared" si="17"/>
        <v>-34260</v>
      </c>
      <c r="Q48" s="4">
        <f t="shared" si="17"/>
        <v>-34438</v>
      </c>
      <c r="R48" s="4">
        <f t="shared" si="17"/>
        <v>-34433</v>
      </c>
      <c r="S48" s="4">
        <f t="shared" si="17"/>
        <v>-34437</v>
      </c>
      <c r="T48" s="4">
        <f t="shared" si="17"/>
        <v>-34434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-433321.02</v>
      </c>
      <c r="G49" s="4">
        <f>SUM(G50:G53)</f>
        <v>-399657</v>
      </c>
      <c r="H49" s="7">
        <f t="shared" si="1"/>
        <v>-411826</v>
      </c>
      <c r="I49" s="40">
        <f>SUM(I50:I53)</f>
        <v>-34261</v>
      </c>
      <c r="J49" s="40">
        <f>SUM(J50:J53)</f>
        <v>-34262</v>
      </c>
      <c r="K49" s="40">
        <f>SUM(K50:K53)</f>
        <v>-34261</v>
      </c>
      <c r="L49" s="40">
        <f>SUM(L50:L53)</f>
        <v>-34258</v>
      </c>
      <c r="M49" s="40">
        <f aca="true" t="shared" si="18" ref="M49:T49">SUM(M50:M53)</f>
        <v>-34262</v>
      </c>
      <c r="N49" s="4">
        <f t="shared" si="18"/>
        <v>-34262</v>
      </c>
      <c r="O49" s="4">
        <f t="shared" si="18"/>
        <v>-34258</v>
      </c>
      <c r="P49" s="4">
        <f t="shared" si="18"/>
        <v>-34260</v>
      </c>
      <c r="Q49" s="4">
        <f t="shared" si="18"/>
        <v>-34438</v>
      </c>
      <c r="R49" s="4">
        <f t="shared" si="18"/>
        <v>-34433</v>
      </c>
      <c r="S49" s="4">
        <f t="shared" si="18"/>
        <v>-34437</v>
      </c>
      <c r="T49" s="4">
        <f t="shared" si="18"/>
        <v>-34434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-120263</v>
      </c>
      <c r="G50" s="13">
        <v>-118808</v>
      </c>
      <c r="H50" s="10">
        <f t="shared" si="1"/>
        <v>-128240</v>
      </c>
      <c r="I50" s="38">
        <v>-10629</v>
      </c>
      <c r="J50" s="38">
        <v>-10629</v>
      </c>
      <c r="K50" s="38">
        <v>-10629</v>
      </c>
      <c r="L50" s="38">
        <v>-10626</v>
      </c>
      <c r="M50" s="38">
        <v>-10629</v>
      </c>
      <c r="N50" s="13">
        <v>-10629</v>
      </c>
      <c r="O50" s="13">
        <v>-10628</v>
      </c>
      <c r="P50" s="13">
        <v>-10628</v>
      </c>
      <c r="Q50" s="13">
        <v>-10805</v>
      </c>
      <c r="R50" s="13">
        <v>-10802</v>
      </c>
      <c r="S50" s="13">
        <v>-10803</v>
      </c>
      <c r="T50" s="13">
        <v>-10803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>
        <v>-305673.02</v>
      </c>
      <c r="G51" s="13">
        <v>-273464</v>
      </c>
      <c r="H51" s="10">
        <f t="shared" si="1"/>
        <v>-276201</v>
      </c>
      <c r="I51" s="38">
        <v>-23017</v>
      </c>
      <c r="J51" s="38">
        <v>-23017</v>
      </c>
      <c r="K51" s="38">
        <v>-23017</v>
      </c>
      <c r="L51" s="38">
        <v>-23016</v>
      </c>
      <c r="M51" s="38">
        <v>-23018</v>
      </c>
      <c r="N51" s="13">
        <v>-23017</v>
      </c>
      <c r="O51" s="13">
        <v>-23015</v>
      </c>
      <c r="P51" s="13">
        <v>-23017</v>
      </c>
      <c r="Q51" s="13">
        <v>-23017</v>
      </c>
      <c r="R51" s="13">
        <v>-23016</v>
      </c>
      <c r="S51" s="13">
        <v>-23018</v>
      </c>
      <c r="T51" s="13">
        <v>-23016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>
        <v>-7385</v>
      </c>
      <c r="G53" s="13">
        <v>-7385</v>
      </c>
      <c r="H53" s="10">
        <f t="shared" si="1"/>
        <v>-7385</v>
      </c>
      <c r="I53" s="38">
        <v>-615</v>
      </c>
      <c r="J53" s="38">
        <v>-616</v>
      </c>
      <c r="K53" s="38">
        <v>-615</v>
      </c>
      <c r="L53" s="38">
        <v>-616</v>
      </c>
      <c r="M53" s="38">
        <v>-615</v>
      </c>
      <c r="N53" s="13">
        <v>-616</v>
      </c>
      <c r="O53" s="13">
        <v>-615</v>
      </c>
      <c r="P53" s="13">
        <v>-615</v>
      </c>
      <c r="Q53" s="13">
        <v>-616</v>
      </c>
      <c r="R53" s="13">
        <v>-615</v>
      </c>
      <c r="S53" s="13">
        <v>-616</v>
      </c>
      <c r="T53" s="13">
        <v>-615</v>
      </c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-107439.76</v>
      </c>
      <c r="G55" s="4">
        <f>G57+G56</f>
        <v>-52849.39</v>
      </c>
      <c r="H55" s="7">
        <f t="shared" si="1"/>
        <v>-23735.55</v>
      </c>
      <c r="I55" s="40">
        <f>I57+I56</f>
        <v>-2178.62</v>
      </c>
      <c r="J55" s="40">
        <f>J57+J56</f>
        <v>-2067.49</v>
      </c>
      <c r="K55" s="40">
        <f>K57+K56</f>
        <v>-1777.82</v>
      </c>
      <c r="L55" s="40">
        <f>L57+L56</f>
        <v>-1850.01</v>
      </c>
      <c r="M55" s="40">
        <f aca="true" t="shared" si="19" ref="M55:T55">M57+M56</f>
        <v>-1689.28</v>
      </c>
      <c r="N55" s="4">
        <f t="shared" si="19"/>
        <v>-2031.09</v>
      </c>
      <c r="O55" s="4">
        <f t="shared" si="19"/>
        <v>-2107.36</v>
      </c>
      <c r="P55" s="4">
        <f t="shared" si="19"/>
        <v>-2077.05</v>
      </c>
      <c r="Q55" s="4">
        <f t="shared" si="19"/>
        <v>-1981.85</v>
      </c>
      <c r="R55" s="4">
        <f t="shared" si="19"/>
        <v>-2014.94</v>
      </c>
      <c r="S55" s="4">
        <f t="shared" si="19"/>
        <v>-1921.47</v>
      </c>
      <c r="T55" s="4">
        <f t="shared" si="19"/>
        <v>-2038.57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>
        <v>-107439.76</v>
      </c>
      <c r="G56" s="4">
        <v>-52849.39</v>
      </c>
      <c r="H56" s="7">
        <f t="shared" si="1"/>
        <v>-23735.55</v>
      </c>
      <c r="I56" s="40">
        <v>-2178.62</v>
      </c>
      <c r="J56" s="40">
        <v>-2067.49</v>
      </c>
      <c r="K56" s="40">
        <v>-1777.82</v>
      </c>
      <c r="L56" s="40">
        <v>-1850.01</v>
      </c>
      <c r="M56" s="40">
        <v>-1689.28</v>
      </c>
      <c r="N56" s="4">
        <v>-2031.09</v>
      </c>
      <c r="O56" s="4">
        <v>-2107.36</v>
      </c>
      <c r="P56" s="4">
        <v>-2077.05</v>
      </c>
      <c r="Q56" s="4">
        <v>-1981.85</v>
      </c>
      <c r="R56" s="4">
        <v>-2014.94</v>
      </c>
      <c r="S56" s="4">
        <v>-1921.47</v>
      </c>
      <c r="T56" s="4">
        <v>-2038.57</v>
      </c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155995.1000000002</v>
      </c>
      <c r="G59" s="7">
        <f>G3+G15+G18+G42</f>
        <v>190939.34000000014</v>
      </c>
      <c r="H59" s="7">
        <f t="shared" si="1"/>
        <v>192601.2</v>
      </c>
      <c r="I59" s="43">
        <f>I3+I15+I18+I42</f>
        <v>152663.28000000003</v>
      </c>
      <c r="J59" s="43">
        <f>J3+J15+J18+J42</f>
        <v>125338.56</v>
      </c>
      <c r="K59" s="43">
        <f>K3+K15+K18+K42</f>
        <v>109569.70000000004</v>
      </c>
      <c r="L59" s="43">
        <f>L3+L15+L18+L42</f>
        <v>23952.589999999975</v>
      </c>
      <c r="M59" s="43">
        <f aca="true" t="shared" si="20" ref="M59:T59">M3+M15+M18+M42</f>
        <v>-115725.87000000001</v>
      </c>
      <c r="N59" s="7">
        <f t="shared" si="20"/>
        <v>-74273.98</v>
      </c>
      <c r="O59" s="7">
        <f t="shared" si="20"/>
        <v>-79358.57999999999</v>
      </c>
      <c r="P59" s="7">
        <f t="shared" si="20"/>
        <v>-61488.91</v>
      </c>
      <c r="Q59" s="7">
        <f t="shared" si="20"/>
        <v>-54159.219999999994</v>
      </c>
      <c r="R59" s="7">
        <f t="shared" si="20"/>
        <v>32700.669999999984</v>
      </c>
      <c r="S59" s="7">
        <f t="shared" si="20"/>
        <v>53781.07000000001</v>
      </c>
      <c r="T59" s="7">
        <f t="shared" si="20"/>
        <v>79601.88999999998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38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94</v>
      </c>
      <c r="O61" s="5" t="s">
        <v>95</v>
      </c>
      <c r="P61" s="5" t="s">
        <v>96</v>
      </c>
      <c r="Q61" s="5" t="s">
        <v>97</v>
      </c>
      <c r="R61" s="5" t="s">
        <v>262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182389.53</v>
      </c>
      <c r="I62" s="44">
        <f>SUM(I63:I71)</f>
        <v>15752</v>
      </c>
      <c r="J62" s="44">
        <f>SUM(J63:J71)</f>
        <v>15752</v>
      </c>
      <c r="K62" s="44">
        <f>SUM(K63:K71)</f>
        <v>15752</v>
      </c>
      <c r="L62" s="44">
        <f>SUM(L63:L71)</f>
        <v>15752</v>
      </c>
      <c r="M62" s="44">
        <f aca="true" t="shared" si="21" ref="M62:T62">SUM(M63:M71)</f>
        <v>17655.95</v>
      </c>
      <c r="N62">
        <f t="shared" si="21"/>
        <v>11768.65</v>
      </c>
      <c r="O62">
        <f t="shared" si="21"/>
        <v>24716.899999999998</v>
      </c>
      <c r="P62">
        <f t="shared" si="21"/>
        <v>6041.780000000001</v>
      </c>
      <c r="Q62">
        <f t="shared" si="21"/>
        <v>6841.6</v>
      </c>
      <c r="R62">
        <f t="shared" si="21"/>
        <v>18674.9</v>
      </c>
      <c r="S62">
        <f t="shared" si="21"/>
        <v>15147.5</v>
      </c>
      <c r="T62">
        <f t="shared" si="21"/>
        <v>18534.25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151286.5</v>
      </c>
      <c r="I63" s="46">
        <f>7590+5082+3080</f>
        <v>15752</v>
      </c>
      <c r="J63" s="46">
        <f>7590+5082+3080</f>
        <v>15752</v>
      </c>
      <c r="K63" s="46">
        <f>7590+5082+3080</f>
        <v>15752</v>
      </c>
      <c r="L63" s="46">
        <f>7590+5082+3080</f>
        <v>15752</v>
      </c>
      <c r="M63" s="46">
        <f>7588.8+5082+3080+1120</f>
        <v>16870.8</v>
      </c>
      <c r="N63" s="24">
        <v>8688.65</v>
      </c>
      <c r="O63" s="24">
        <v>4670.6</v>
      </c>
      <c r="P63" s="24">
        <v>3952.5</v>
      </c>
      <c r="Q63" s="24">
        <f>4314.45</f>
        <v>4314.45</v>
      </c>
      <c r="R63" s="24">
        <v>18674.9</v>
      </c>
      <c r="S63" s="24">
        <v>14495</v>
      </c>
      <c r="T63" s="24">
        <v>16611.6</v>
      </c>
    </row>
    <row r="64" spans="1:20" s="25" customFormat="1" ht="11.25">
      <c r="A64" s="22"/>
      <c r="B64" s="22"/>
      <c r="C64" s="22"/>
      <c r="D64" s="22"/>
      <c r="E64" s="26" t="s">
        <v>269</v>
      </c>
      <c r="F64" s="113"/>
      <c r="G64" s="113"/>
      <c r="H64" s="23">
        <f aca="true" t="shared" si="22" ref="H64:H69">SUM(I64:T64)</f>
        <v>4292.5</v>
      </c>
      <c r="I64" s="47"/>
      <c r="J64" s="47"/>
      <c r="K64" s="47"/>
      <c r="L64" s="47"/>
      <c r="M64" s="47"/>
      <c r="N64" s="27">
        <v>3080</v>
      </c>
      <c r="O64" s="27">
        <v>560</v>
      </c>
      <c r="P64" s="27">
        <v>0</v>
      </c>
      <c r="Q64" s="27"/>
      <c r="R64" s="27"/>
      <c r="S64" s="27">
        <v>652.5</v>
      </c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2"/>
        <v>11942.65</v>
      </c>
      <c r="I65" s="47"/>
      <c r="J65" s="47"/>
      <c r="K65" s="47"/>
      <c r="L65" s="47"/>
      <c r="M65" s="47"/>
      <c r="N65" s="27"/>
      <c r="O65" s="27">
        <v>11323</v>
      </c>
      <c r="P65" s="27"/>
      <c r="Q65" s="27"/>
      <c r="R65" s="27"/>
      <c r="S65" s="27"/>
      <c r="T65" s="27">
        <f>1506.05-886.4</f>
        <v>619.65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2"/>
        <v>8948.45</v>
      </c>
      <c r="I66" s="47"/>
      <c r="J66" s="47"/>
      <c r="K66" s="47"/>
      <c r="L66" s="47"/>
      <c r="M66" s="47">
        <v>785.15</v>
      </c>
      <c r="N66" s="27"/>
      <c r="O66" s="27">
        <v>8163.3</v>
      </c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2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2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2"/>
        <v>5919.43</v>
      </c>
      <c r="I69" s="47"/>
      <c r="J69" s="47"/>
      <c r="K69" s="47"/>
      <c r="L69" s="47"/>
      <c r="M69" s="47"/>
      <c r="N69" s="27"/>
      <c r="O69" s="27"/>
      <c r="P69" s="27">
        <v>2089.28</v>
      </c>
      <c r="Q69" s="27">
        <v>2527.15</v>
      </c>
      <c r="R69" s="27"/>
      <c r="S69" s="27"/>
      <c r="T69" s="27">
        <v>1303</v>
      </c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60191</v>
      </c>
      <c r="I72" s="24">
        <v>5199</v>
      </c>
      <c r="J72" s="24">
        <v>5199</v>
      </c>
      <c r="K72" s="24">
        <v>5199</v>
      </c>
      <c r="L72" s="24">
        <v>5199</v>
      </c>
      <c r="M72" s="24">
        <v>5826</v>
      </c>
      <c r="N72" s="24">
        <v>3884</v>
      </c>
      <c r="O72" s="24">
        <v>8155</v>
      </c>
      <c r="P72" s="24">
        <v>1995</v>
      </c>
      <c r="Q72" s="24">
        <v>2257</v>
      </c>
      <c r="R72" s="24">
        <v>6163</v>
      </c>
      <c r="S72" s="24">
        <v>4999</v>
      </c>
      <c r="T72" s="24">
        <v>6116</v>
      </c>
    </row>
    <row r="73" spans="5:20" ht="12.75">
      <c r="E73" s="28" t="s">
        <v>74</v>
      </c>
      <c r="F73" s="28"/>
      <c r="G73" s="28"/>
      <c r="H73" s="21">
        <f>SUM(I73:T73)</f>
        <v>2331</v>
      </c>
      <c r="I73" s="24">
        <v>222</v>
      </c>
      <c r="J73" s="24">
        <v>221</v>
      </c>
      <c r="K73" s="24">
        <v>221</v>
      </c>
      <c r="L73" s="24">
        <v>221</v>
      </c>
      <c r="M73" s="24">
        <v>141</v>
      </c>
      <c r="N73" s="24">
        <v>163</v>
      </c>
      <c r="O73" s="24">
        <v>232</v>
      </c>
      <c r="P73" s="24">
        <v>83</v>
      </c>
      <c r="Q73" s="24">
        <v>98</v>
      </c>
      <c r="R73" s="24">
        <v>259</v>
      </c>
      <c r="S73" s="24">
        <v>211</v>
      </c>
      <c r="T73" s="24">
        <v>259</v>
      </c>
    </row>
    <row r="74" spans="6:20" ht="12.75">
      <c r="F74" s="29"/>
      <c r="G74" s="29"/>
      <c r="H74" s="21">
        <f>SUM(I74:T74)</f>
        <v>244911.53</v>
      </c>
      <c r="I74" s="24">
        <f aca="true" t="shared" si="23" ref="I74:T74">I62+I72+I73</f>
        <v>21173</v>
      </c>
      <c r="J74" s="24">
        <f t="shared" si="23"/>
        <v>21172</v>
      </c>
      <c r="K74" s="24">
        <f t="shared" si="23"/>
        <v>21172</v>
      </c>
      <c r="L74" s="24">
        <f t="shared" si="23"/>
        <v>21172</v>
      </c>
      <c r="M74" s="24">
        <f t="shared" si="23"/>
        <v>23622.95</v>
      </c>
      <c r="N74" s="24">
        <f t="shared" si="23"/>
        <v>15815.65</v>
      </c>
      <c r="O74" s="24">
        <f t="shared" si="23"/>
        <v>33103.899999999994</v>
      </c>
      <c r="P74" s="24">
        <f t="shared" si="23"/>
        <v>8119.780000000001</v>
      </c>
      <c r="Q74" s="24">
        <f t="shared" si="23"/>
        <v>9196.6</v>
      </c>
      <c r="R74" s="24">
        <f t="shared" si="23"/>
        <v>25096.9</v>
      </c>
      <c r="S74" s="24">
        <f t="shared" si="23"/>
        <v>20357.5</v>
      </c>
      <c r="T74" s="24">
        <f t="shared" si="23"/>
        <v>24909.25</v>
      </c>
    </row>
    <row r="75" spans="5:20" ht="12.75">
      <c r="E75" s="30" t="s">
        <v>75</v>
      </c>
      <c r="H75" s="21" t="s">
        <v>76</v>
      </c>
      <c r="I75" s="48">
        <f>I78/I77</f>
        <v>849.9966624784042</v>
      </c>
      <c r="J75" s="48">
        <f>J78/J77</f>
        <v>849.9923853889051</v>
      </c>
      <c r="K75" s="48">
        <f>K78/K77</f>
        <v>849.8765906567598</v>
      </c>
      <c r="L75" s="48">
        <f>L78/L77</f>
        <v>850</v>
      </c>
      <c r="M75" s="48">
        <f>M78/M77</f>
        <v>850</v>
      </c>
      <c r="N75" s="31">
        <v>850</v>
      </c>
      <c r="O75" s="31">
        <f>O78/O77</f>
        <v>850</v>
      </c>
      <c r="P75" s="31">
        <f>P78/P77</f>
        <v>849.9999999999999</v>
      </c>
      <c r="Q75" s="31">
        <f>Q78/Q77</f>
        <v>850</v>
      </c>
      <c r="R75" s="31">
        <v>850</v>
      </c>
      <c r="S75" s="31">
        <v>850</v>
      </c>
      <c r="T75" s="31">
        <v>850</v>
      </c>
    </row>
    <row r="76" spans="1:20" ht="25.5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77</v>
      </c>
      <c r="H77" s="7">
        <f>SUM(I77:T77)</f>
        <v>2730.093</v>
      </c>
      <c r="I77" s="32">
        <v>509.36</v>
      </c>
      <c r="J77" s="32">
        <v>446.51</v>
      </c>
      <c r="K77" s="32">
        <v>351.27</v>
      </c>
      <c r="L77" s="32">
        <v>228.069</v>
      </c>
      <c r="M77" s="32">
        <v>91.28</v>
      </c>
      <c r="N77" s="1">
        <v>2.169</v>
      </c>
      <c r="O77" s="1">
        <v>9.25</v>
      </c>
      <c r="P77" s="1">
        <v>9.8</v>
      </c>
      <c r="Q77" s="1">
        <v>82.005</v>
      </c>
      <c r="R77" s="1">
        <v>258.279</v>
      </c>
      <c r="S77" s="1">
        <v>302.475</v>
      </c>
      <c r="T77" s="1">
        <v>439.626</v>
      </c>
    </row>
    <row r="78" spans="1:20" ht="12.75">
      <c r="A78" s="1"/>
      <c r="B78" s="1"/>
      <c r="C78" s="1"/>
      <c r="D78" s="1"/>
      <c r="E78" s="32" t="s">
        <v>78</v>
      </c>
      <c r="H78" s="7">
        <f>SUM(I78:T78)</f>
        <v>2320530.5999999996</v>
      </c>
      <c r="I78" s="40">
        <v>432954.3</v>
      </c>
      <c r="J78" s="40">
        <v>379530.1</v>
      </c>
      <c r="K78" s="40">
        <v>298536.15</v>
      </c>
      <c r="L78" s="40">
        <v>193858.65</v>
      </c>
      <c r="M78" s="40">
        <v>77588</v>
      </c>
      <c r="N78" s="4">
        <f aca="true" t="shared" si="24" ref="N78:T78">N77*N75</f>
        <v>1843.65</v>
      </c>
      <c r="O78" s="4">
        <v>7862.5</v>
      </c>
      <c r="P78" s="4">
        <v>8330</v>
      </c>
      <c r="Q78" s="4">
        <v>69704.25</v>
      </c>
      <c r="R78" s="4">
        <f t="shared" si="24"/>
        <v>219537.15</v>
      </c>
      <c r="S78" s="4">
        <f t="shared" si="24"/>
        <v>257103.75000000003</v>
      </c>
      <c r="T78" s="4">
        <f t="shared" si="24"/>
        <v>373682.1</v>
      </c>
    </row>
    <row r="79" spans="1:20" ht="18">
      <c r="A79" s="1"/>
      <c r="B79" s="1"/>
      <c r="C79" s="1"/>
      <c r="D79" s="1"/>
      <c r="E79" s="33" t="s">
        <v>79</v>
      </c>
      <c r="F79" s="2"/>
      <c r="G79" s="2"/>
      <c r="H79" s="7">
        <f aca="true" t="shared" si="25" ref="H79:H96">SUM(I79:T79)</f>
        <v>1766.297698844538</v>
      </c>
      <c r="I79" s="38">
        <f aca="true" t="shared" si="26" ref="I79:N79">I81/I80</f>
        <v>151.23221571906356</v>
      </c>
      <c r="J79" s="38">
        <f t="shared" si="26"/>
        <v>161.56503735325506</v>
      </c>
      <c r="K79" s="38">
        <f t="shared" si="26"/>
        <v>161.4743724137931</v>
      </c>
      <c r="L79" s="38">
        <f t="shared" si="26"/>
        <v>157.12974591651545</v>
      </c>
      <c r="M79" s="38">
        <f t="shared" si="26"/>
        <v>134.59447210300428</v>
      </c>
      <c r="N79" s="13">
        <f t="shared" si="26"/>
        <v>137.1420625</v>
      </c>
      <c r="O79" s="13">
        <f aca="true" t="shared" si="27" ref="O79:T79">O81/O80</f>
        <v>135.55225396825398</v>
      </c>
      <c r="P79" s="13">
        <f t="shared" si="27"/>
        <v>128.6676679841897</v>
      </c>
      <c r="Q79" s="13">
        <f t="shared" si="27"/>
        <v>140.2843119266055</v>
      </c>
      <c r="R79" s="13">
        <f t="shared" si="27"/>
        <v>149.71396984924624</v>
      </c>
      <c r="S79" s="13">
        <f t="shared" si="27"/>
        <v>153.49871222076217</v>
      </c>
      <c r="T79" s="13">
        <f t="shared" si="27"/>
        <v>155.4428768898488</v>
      </c>
    </row>
    <row r="80" spans="1:20" ht="12.75">
      <c r="A80" s="1"/>
      <c r="B80" s="1"/>
      <c r="C80" s="1"/>
      <c r="D80" s="1"/>
      <c r="E80" s="32" t="s">
        <v>80</v>
      </c>
      <c r="H80" s="7">
        <f t="shared" si="25"/>
        <v>7278</v>
      </c>
      <c r="I80" s="38">
        <v>1196</v>
      </c>
      <c r="J80" s="38">
        <v>937</v>
      </c>
      <c r="K80" s="38">
        <v>725</v>
      </c>
      <c r="L80" s="38">
        <v>551</v>
      </c>
      <c r="M80" s="38">
        <v>582.5</v>
      </c>
      <c r="N80" s="13">
        <v>160</v>
      </c>
      <c r="O80" s="13">
        <v>157.5</v>
      </c>
      <c r="P80" s="13">
        <v>126.5</v>
      </c>
      <c r="Q80" s="13">
        <v>327</v>
      </c>
      <c r="R80" s="13">
        <v>597</v>
      </c>
      <c r="S80" s="13">
        <v>761</v>
      </c>
      <c r="T80" s="13">
        <v>1157.5</v>
      </c>
    </row>
    <row r="81" spans="1:20" ht="12.75">
      <c r="A81" s="1"/>
      <c r="B81" s="1"/>
      <c r="C81" s="1"/>
      <c r="D81" s="1"/>
      <c r="E81" s="32" t="s">
        <v>81</v>
      </c>
      <c r="F81" s="22"/>
      <c r="G81" s="22"/>
      <c r="H81" s="7">
        <f t="shared" si="25"/>
        <v>1105867.3900000001</v>
      </c>
      <c r="I81" s="40">
        <v>180873.73</v>
      </c>
      <c r="J81" s="40">
        <v>151386.44</v>
      </c>
      <c r="K81" s="40">
        <v>117068.92</v>
      </c>
      <c r="L81" s="40">
        <v>86578.49</v>
      </c>
      <c r="M81" s="40">
        <v>78401.28</v>
      </c>
      <c r="N81" s="4">
        <v>21942.73</v>
      </c>
      <c r="O81" s="4">
        <v>21349.48</v>
      </c>
      <c r="P81" s="4">
        <v>16276.46</v>
      </c>
      <c r="Q81" s="4">
        <v>45872.97</v>
      </c>
      <c r="R81" s="4">
        <v>89379.24</v>
      </c>
      <c r="S81" s="4">
        <v>116812.52</v>
      </c>
      <c r="T81" s="4">
        <v>179925.13</v>
      </c>
    </row>
    <row r="82" spans="1:20" ht="12.75">
      <c r="A82" s="1"/>
      <c r="B82" s="1"/>
      <c r="C82" s="1"/>
      <c r="D82" s="1"/>
      <c r="E82" s="33" t="s">
        <v>82</v>
      </c>
      <c r="F82" s="22"/>
      <c r="G82" s="22"/>
      <c r="H82" s="7">
        <f t="shared" si="25"/>
        <v>17584.70979710145</v>
      </c>
      <c r="I82" s="38"/>
      <c r="J82" s="38"/>
      <c r="K82" s="38"/>
      <c r="L82" s="38"/>
      <c r="M82" s="38">
        <f>M84/M83</f>
        <v>4016.405797101449</v>
      </c>
      <c r="N82" s="13"/>
      <c r="O82" s="13"/>
      <c r="P82" s="13">
        <f>P84/P83</f>
        <v>4385</v>
      </c>
      <c r="Q82" s="13">
        <f>Q84/Q83</f>
        <v>0</v>
      </c>
      <c r="R82" s="13">
        <f>R84/R83</f>
        <v>4385</v>
      </c>
      <c r="S82" s="13">
        <f>S84/S83</f>
        <v>4385</v>
      </c>
      <c r="T82" s="13">
        <f>T84/T83</f>
        <v>413.304</v>
      </c>
    </row>
    <row r="83" spans="1:20" ht="12.75">
      <c r="A83" s="1"/>
      <c r="B83" s="1"/>
      <c r="C83" s="1"/>
      <c r="D83" s="1"/>
      <c r="E83" s="32" t="s">
        <v>80</v>
      </c>
      <c r="F83" s="26"/>
      <c r="G83" s="26"/>
      <c r="H83" s="7">
        <f t="shared" si="25"/>
        <v>38.75</v>
      </c>
      <c r="I83" s="32">
        <v>4</v>
      </c>
      <c r="J83" s="32">
        <v>5</v>
      </c>
      <c r="K83" s="32">
        <v>4</v>
      </c>
      <c r="L83" s="32">
        <v>3</v>
      </c>
      <c r="M83" s="32">
        <v>13.8</v>
      </c>
      <c r="N83" s="1">
        <v>0.2</v>
      </c>
      <c r="O83" s="1">
        <v>0</v>
      </c>
      <c r="P83" s="1">
        <v>0.5</v>
      </c>
      <c r="Q83" s="1">
        <v>2</v>
      </c>
      <c r="R83" s="1">
        <v>2</v>
      </c>
      <c r="S83" s="1">
        <v>3</v>
      </c>
      <c r="T83" s="1">
        <v>1.25</v>
      </c>
    </row>
    <row r="84" spans="1:20" ht="12.75">
      <c r="A84" s="1"/>
      <c r="B84" s="1"/>
      <c r="C84" s="1"/>
      <c r="D84" s="1"/>
      <c r="E84" s="32" t="s">
        <v>81</v>
      </c>
      <c r="F84" s="26"/>
      <c r="G84" s="26"/>
      <c r="H84" s="7">
        <f t="shared" si="25"/>
        <v>80060.53</v>
      </c>
      <c r="I84" s="40">
        <f>I82*I83</f>
        <v>0</v>
      </c>
      <c r="J84" s="40">
        <f>J82*J83</f>
        <v>0</v>
      </c>
      <c r="K84" s="40">
        <f>K82*K83</f>
        <v>0</v>
      </c>
      <c r="L84" s="40">
        <f>L82*L83</f>
        <v>0</v>
      </c>
      <c r="M84" s="40">
        <v>55426.4</v>
      </c>
      <c r="N84" s="4">
        <f>N82*N83</f>
        <v>0</v>
      </c>
      <c r="O84" s="4">
        <f>O82*O83</f>
        <v>0</v>
      </c>
      <c r="P84" s="4">
        <v>2192.5</v>
      </c>
      <c r="Q84" s="4">
        <v>0</v>
      </c>
      <c r="R84" s="4">
        <v>8770</v>
      </c>
      <c r="S84" s="4">
        <v>13155</v>
      </c>
      <c r="T84" s="4">
        <v>516.63</v>
      </c>
    </row>
    <row r="85" spans="5:20" ht="12.75">
      <c r="E85" s="55" t="s">
        <v>132</v>
      </c>
      <c r="F85" s="26"/>
      <c r="G85" s="26" t="s">
        <v>83</v>
      </c>
      <c r="H85" s="7">
        <f t="shared" si="25"/>
        <v>4148.25</v>
      </c>
      <c r="I85" s="44">
        <f>SUM(I86:I87)</f>
        <v>653.36</v>
      </c>
      <c r="J85" s="44">
        <f>SUM(J86:J87)</f>
        <v>569.47</v>
      </c>
      <c r="K85" s="44">
        <f>SUM(K86:K87)</f>
        <v>492.3</v>
      </c>
      <c r="L85" s="44">
        <f>SUM(L86:L87)</f>
        <v>335.84999999999997</v>
      </c>
      <c r="M85" s="44">
        <f aca="true" t="shared" si="28" ref="M85:T85">SUM(M86:M87)</f>
        <v>199.6</v>
      </c>
      <c r="N85" s="44">
        <f t="shared" si="28"/>
        <v>87.03</v>
      </c>
      <c r="O85" s="44">
        <f t="shared" si="28"/>
        <v>82.21</v>
      </c>
      <c r="P85" s="44">
        <f t="shared" si="28"/>
        <v>71.11</v>
      </c>
      <c r="Q85" s="44">
        <f t="shared" si="28"/>
        <v>201.18</v>
      </c>
      <c r="R85" s="44">
        <f t="shared" si="28"/>
        <v>349.51</v>
      </c>
      <c r="S85" s="44">
        <f t="shared" si="28"/>
        <v>450.88</v>
      </c>
      <c r="T85" s="44">
        <f t="shared" si="28"/>
        <v>655.75</v>
      </c>
    </row>
    <row r="86" spans="1:20" s="25" customFormat="1" ht="11.25">
      <c r="A86" s="22"/>
      <c r="B86" s="22"/>
      <c r="C86" s="22"/>
      <c r="D86" s="22"/>
      <c r="E86" s="57" t="s">
        <v>155</v>
      </c>
      <c r="F86" s="58">
        <f>H86/H85</f>
        <v>0.11356837220514673</v>
      </c>
      <c r="G86" s="26" t="s">
        <v>83</v>
      </c>
      <c r="H86" s="10">
        <f t="shared" si="25"/>
        <v>471.10999999999996</v>
      </c>
      <c r="I86" s="49">
        <v>109.2</v>
      </c>
      <c r="J86" s="49">
        <v>48.48</v>
      </c>
      <c r="K86" s="49">
        <v>89.89</v>
      </c>
      <c r="L86" s="26">
        <v>29.51</v>
      </c>
      <c r="M86" s="49">
        <v>10.67</v>
      </c>
      <c r="N86" s="26">
        <v>1.77</v>
      </c>
      <c r="O86" s="26">
        <v>1.44</v>
      </c>
      <c r="P86" s="26">
        <v>1.14</v>
      </c>
      <c r="Q86" s="26">
        <v>19.35</v>
      </c>
      <c r="R86" s="26">
        <v>18.07</v>
      </c>
      <c r="S86" s="26">
        <v>28.52</v>
      </c>
      <c r="T86" s="26">
        <v>113.07</v>
      </c>
    </row>
    <row r="87" spans="1:20" s="25" customFormat="1" ht="11.25">
      <c r="A87" s="22"/>
      <c r="B87" s="22"/>
      <c r="C87" s="22"/>
      <c r="D87" s="22"/>
      <c r="E87" s="57" t="s">
        <v>154</v>
      </c>
      <c r="F87" s="58">
        <f>H87/H85</f>
        <v>0.8864316277948532</v>
      </c>
      <c r="G87" s="26" t="s">
        <v>83</v>
      </c>
      <c r="H87" s="10">
        <f t="shared" si="25"/>
        <v>3677.14</v>
      </c>
      <c r="I87" s="49">
        <v>544.16</v>
      </c>
      <c r="J87" s="49">
        <v>520.99</v>
      </c>
      <c r="K87" s="49">
        <v>402.41</v>
      </c>
      <c r="L87" s="26">
        <v>306.34</v>
      </c>
      <c r="M87" s="49">
        <v>188.93</v>
      </c>
      <c r="N87" s="26">
        <v>85.26</v>
      </c>
      <c r="O87" s="26">
        <v>80.77</v>
      </c>
      <c r="P87" s="26">
        <v>69.97</v>
      </c>
      <c r="Q87" s="26">
        <v>181.83</v>
      </c>
      <c r="R87" s="26">
        <v>331.44</v>
      </c>
      <c r="S87" s="26">
        <v>422.36</v>
      </c>
      <c r="T87" s="26">
        <v>542.68</v>
      </c>
    </row>
    <row r="88" spans="5:20" ht="12.75">
      <c r="E88" s="55"/>
      <c r="F88" s="26"/>
      <c r="G88" s="26"/>
      <c r="H88" s="7"/>
      <c r="I88" s="44"/>
      <c r="L88" s="56"/>
      <c r="N88" s="56"/>
      <c r="O88" s="56"/>
      <c r="P88" s="56"/>
      <c r="Q88" s="56"/>
      <c r="R88" s="56"/>
      <c r="S88" s="56"/>
      <c r="T88" s="56"/>
    </row>
    <row r="89" spans="1:20" ht="18">
      <c r="A89" s="1"/>
      <c r="B89" s="1"/>
      <c r="C89" s="1"/>
      <c r="D89" s="1"/>
      <c r="E89" s="2"/>
      <c r="H89" s="3">
        <f t="shared" si="25"/>
        <v>0</v>
      </c>
      <c r="I89" s="40" t="s">
        <v>89</v>
      </c>
      <c r="J89" s="40" t="s">
        <v>90</v>
      </c>
      <c r="K89" s="40" t="s">
        <v>91</v>
      </c>
      <c r="L89" s="45" t="s">
        <v>92</v>
      </c>
      <c r="M89" s="40" t="s">
        <v>93</v>
      </c>
      <c r="N89" s="4" t="s">
        <v>94</v>
      </c>
      <c r="O89" s="4" t="s">
        <v>95</v>
      </c>
      <c r="P89" s="5" t="s">
        <v>96</v>
      </c>
      <c r="Q89" s="4" t="s">
        <v>97</v>
      </c>
      <c r="R89" s="4" t="s">
        <v>98</v>
      </c>
      <c r="S89" s="4" t="s">
        <v>99</v>
      </c>
      <c r="T89" s="5" t="s">
        <v>100</v>
      </c>
    </row>
    <row r="90" spans="5:20" ht="12.75">
      <c r="E90" s="18" t="s">
        <v>84</v>
      </c>
      <c r="H90" s="21">
        <f t="shared" si="25"/>
        <v>40805.17</v>
      </c>
      <c r="I90" s="44">
        <f>SUM(I91:I96)</f>
        <v>4078.4</v>
      </c>
      <c r="J90" s="44">
        <f>SUM(J91:J96)</f>
        <v>4582.22</v>
      </c>
      <c r="K90" s="44">
        <f>SUM(K91:K96)</f>
        <v>4638.660000000001</v>
      </c>
      <c r="L90" s="44">
        <f>SUM(L91:L96)</f>
        <v>4702.7699999999995</v>
      </c>
      <c r="M90" s="44">
        <f aca="true" t="shared" si="29" ref="M90:T90">SUM(M91:M96)</f>
        <v>2742.29</v>
      </c>
      <c r="N90">
        <f t="shared" si="29"/>
        <v>4602.94</v>
      </c>
      <c r="O90">
        <f t="shared" si="29"/>
        <v>1941.7599999999998</v>
      </c>
      <c r="P90">
        <f t="shared" si="29"/>
        <v>1785.26</v>
      </c>
      <c r="Q90">
        <f t="shared" si="29"/>
        <v>3095.56</v>
      </c>
      <c r="R90">
        <f t="shared" si="29"/>
        <v>2801.6</v>
      </c>
      <c r="S90">
        <f t="shared" si="29"/>
        <v>3090.9</v>
      </c>
      <c r="T90">
        <f t="shared" si="29"/>
        <v>2742.81</v>
      </c>
    </row>
    <row r="91" spans="1:20" s="25" customFormat="1" ht="12.75">
      <c r="A91" s="22"/>
      <c r="B91" s="22"/>
      <c r="C91" s="22"/>
      <c r="D91" s="22"/>
      <c r="E91" s="22" t="s">
        <v>133</v>
      </c>
      <c r="F91" s="18"/>
      <c r="G91" s="18"/>
      <c r="H91" s="23">
        <f t="shared" si="25"/>
        <v>6928</v>
      </c>
      <c r="I91" s="49">
        <f>1000</f>
        <v>1000</v>
      </c>
      <c r="J91" s="49">
        <f>1000</f>
        <v>1000</v>
      </c>
      <c r="K91" s="49">
        <v>1000</v>
      </c>
      <c r="L91" s="49">
        <v>1000</v>
      </c>
      <c r="M91" s="49">
        <v>1000</v>
      </c>
      <c r="N91" s="25">
        <v>1000</v>
      </c>
      <c r="Q91" s="25">
        <v>232</v>
      </c>
      <c r="R91" s="25">
        <v>224</v>
      </c>
      <c r="S91" s="25">
        <v>228</v>
      </c>
      <c r="T91" s="25">
        <v>244</v>
      </c>
    </row>
    <row r="92" spans="1:14" s="25" customFormat="1" ht="12.75">
      <c r="A92" s="22"/>
      <c r="B92" s="22"/>
      <c r="C92" s="22"/>
      <c r="D92" s="22"/>
      <c r="E92" s="22" t="s">
        <v>86</v>
      </c>
      <c r="F92" s="18"/>
      <c r="G92" s="18"/>
      <c r="H92" s="23">
        <f t="shared" si="25"/>
        <v>2280.5</v>
      </c>
      <c r="I92" s="49"/>
      <c r="J92" s="49"/>
      <c r="K92" s="49"/>
      <c r="L92" s="49"/>
      <c r="M92" s="49">
        <v>580.5</v>
      </c>
      <c r="N92" s="25">
        <v>1700</v>
      </c>
    </row>
    <row r="93" spans="1:20" s="25" customFormat="1" ht="12.75">
      <c r="A93" s="22"/>
      <c r="B93" s="22"/>
      <c r="C93" s="22"/>
      <c r="D93" s="22"/>
      <c r="E93" s="26" t="s">
        <v>107</v>
      </c>
      <c r="F93" s="18"/>
      <c r="G93" s="18"/>
      <c r="H93" s="23">
        <f t="shared" si="25"/>
        <v>13756.8</v>
      </c>
      <c r="I93" s="49">
        <v>1085.37</v>
      </c>
      <c r="J93" s="49">
        <v>1090.05</v>
      </c>
      <c r="K93" s="49">
        <v>1094.71</v>
      </c>
      <c r="L93" s="49">
        <v>1099.4</v>
      </c>
      <c r="M93" s="49">
        <v>1104.12</v>
      </c>
      <c r="N93" s="25">
        <v>1108.87</v>
      </c>
      <c r="O93" s="25">
        <v>1012.4</v>
      </c>
      <c r="P93" s="25">
        <v>1016.73</v>
      </c>
      <c r="Q93" s="25">
        <v>1021.11</v>
      </c>
      <c r="R93" s="25">
        <v>1025.49</v>
      </c>
      <c r="S93" s="25">
        <v>1029.9</v>
      </c>
      <c r="T93" s="25">
        <v>2068.65</v>
      </c>
    </row>
    <row r="94" spans="1:20" s="25" customFormat="1" ht="12.75">
      <c r="A94" s="22"/>
      <c r="B94" s="22"/>
      <c r="C94" s="22"/>
      <c r="D94" s="22"/>
      <c r="E94" s="26" t="s">
        <v>87</v>
      </c>
      <c r="F94" s="18"/>
      <c r="G94" s="18"/>
      <c r="H94" s="23">
        <f t="shared" si="25"/>
        <v>14698.660000000002</v>
      </c>
      <c r="I94" s="49">
        <v>1739.51</v>
      </c>
      <c r="J94" s="49">
        <v>1942.65</v>
      </c>
      <c r="K94" s="49">
        <v>2009.67</v>
      </c>
      <c r="L94" s="49">
        <v>2541.39</v>
      </c>
      <c r="M94" s="49"/>
      <c r="N94" s="25">
        <v>622.08</v>
      </c>
      <c r="O94" s="25">
        <v>697.24</v>
      </c>
      <c r="P94" s="25">
        <v>705.37</v>
      </c>
      <c r="Q94" s="25">
        <v>1011.83</v>
      </c>
      <c r="R94" s="25">
        <v>1325.28</v>
      </c>
      <c r="S94" s="25">
        <v>1787.69</v>
      </c>
      <c r="T94" s="25">
        <v>315.95</v>
      </c>
    </row>
    <row r="95" spans="1:20" s="25" customFormat="1" ht="12.75">
      <c r="A95" s="22"/>
      <c r="B95" s="22"/>
      <c r="C95" s="22"/>
      <c r="D95" s="22"/>
      <c r="E95" s="26" t="s">
        <v>88</v>
      </c>
      <c r="F95" s="18"/>
      <c r="G95" s="18"/>
      <c r="H95" s="23">
        <f t="shared" si="25"/>
        <v>2457.2200000000003</v>
      </c>
      <c r="I95" s="49">
        <v>178.75</v>
      </c>
      <c r="J95" s="49">
        <v>478.99</v>
      </c>
      <c r="K95" s="49">
        <f>284.68+183.33</f>
        <v>468.01</v>
      </c>
      <c r="L95" s="49"/>
      <c r="M95" s="49"/>
      <c r="N95" s="25">
        <v>75</v>
      </c>
      <c r="O95" s="25">
        <v>187.5</v>
      </c>
      <c r="P95" s="25">
        <v>22.5</v>
      </c>
      <c r="Q95" s="25">
        <v>770.62</v>
      </c>
      <c r="R95" s="25">
        <v>194.17</v>
      </c>
      <c r="S95" s="25">
        <v>16.67</v>
      </c>
      <c r="T95" s="25">
        <v>65.01</v>
      </c>
    </row>
    <row r="96" spans="5:20" ht="12.75">
      <c r="E96" s="26" t="s">
        <v>131</v>
      </c>
      <c r="H96" s="21">
        <f t="shared" si="25"/>
        <v>683.99</v>
      </c>
      <c r="I96" s="49">
        <v>74.77</v>
      </c>
      <c r="J96" s="49">
        <v>70.53</v>
      </c>
      <c r="K96" s="44">
        <v>66.27</v>
      </c>
      <c r="L96" s="49">
        <v>61.98</v>
      </c>
      <c r="M96" s="49">
        <v>57.67</v>
      </c>
      <c r="N96" s="49">
        <v>96.99</v>
      </c>
      <c r="O96" s="49">
        <v>44.62</v>
      </c>
      <c r="P96" s="49">
        <v>40.66</v>
      </c>
      <c r="Q96" s="49">
        <v>60</v>
      </c>
      <c r="R96" s="49">
        <v>32.66</v>
      </c>
      <c r="S96" s="49">
        <v>28.64</v>
      </c>
      <c r="T96" s="49">
        <v>49.2</v>
      </c>
    </row>
    <row r="97" ht="12.75">
      <c r="I97" s="44"/>
    </row>
    <row r="98" spans="5:9" ht="15">
      <c r="E98" s="93" t="s">
        <v>134</v>
      </c>
      <c r="I98" s="44"/>
    </row>
    <row r="99" spans="5:20" ht="15">
      <c r="E99" s="94" t="s">
        <v>256</v>
      </c>
      <c r="F99" s="18">
        <v>384660.6</v>
      </c>
      <c r="G99" s="18">
        <v>384660.6</v>
      </c>
      <c r="H99" s="21">
        <f>SUM(I99:T99)</f>
        <v>408754.51999999996</v>
      </c>
      <c r="I99" s="49">
        <v>64110.1</v>
      </c>
      <c r="J99" s="49">
        <v>64110.1</v>
      </c>
      <c r="K99" s="49">
        <v>64110.1</v>
      </c>
      <c r="L99" s="49">
        <v>64110.1</v>
      </c>
      <c r="M99" s="49">
        <v>64110.1</v>
      </c>
      <c r="N99" s="49">
        <v>13599.05</v>
      </c>
      <c r="O99" s="49">
        <v>12346.06</v>
      </c>
      <c r="P99" s="49">
        <v>12372.42</v>
      </c>
      <c r="Q99" s="49">
        <v>12463.62</v>
      </c>
      <c r="R99" s="49">
        <v>12426.52</v>
      </c>
      <c r="S99" s="49">
        <v>12515.97</v>
      </c>
      <c r="T99" s="49">
        <v>12480.38</v>
      </c>
    </row>
    <row r="100" spans="5:20" ht="15">
      <c r="E100" s="94" t="s">
        <v>255</v>
      </c>
      <c r="F100" s="18">
        <v>104439.76</v>
      </c>
      <c r="G100" s="18">
        <v>50019.46</v>
      </c>
      <c r="H100" s="21">
        <f>SUM(I100:T100)</f>
        <v>23143.15</v>
      </c>
      <c r="I100" s="49">
        <v>2103.85</v>
      </c>
      <c r="J100" s="49">
        <v>1996.96</v>
      </c>
      <c r="K100" s="49">
        <v>1711.55</v>
      </c>
      <c r="L100" s="49">
        <v>1788.03</v>
      </c>
      <c r="M100" s="49">
        <v>1631.61</v>
      </c>
      <c r="N100" s="25">
        <f>809.76+1167.99</f>
        <v>1977.75</v>
      </c>
      <c r="O100" s="49">
        <v>2062.74</v>
      </c>
      <c r="P100" s="49">
        <v>2036.39</v>
      </c>
      <c r="Q100" s="49">
        <v>1945.19</v>
      </c>
      <c r="R100" s="49">
        <v>1982.28</v>
      </c>
      <c r="S100" s="49">
        <v>1892.83</v>
      </c>
      <c r="T100" s="49">
        <v>2013.97</v>
      </c>
    </row>
    <row r="101" ht="12.75">
      <c r="I101" s="44"/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  <row r="168" ht="12.75">
      <c r="I168" s="44"/>
    </row>
    <row r="169" ht="12.75">
      <c r="I169" s="44"/>
    </row>
    <row r="170" ht="12.75">
      <c r="I170" s="44"/>
    </row>
  </sheetData>
  <sheetProtection/>
  <mergeCells count="3">
    <mergeCell ref="F62:F64"/>
    <mergeCell ref="G62:G64"/>
    <mergeCell ref="G65:G68"/>
  </mergeCells>
  <printOptions/>
  <pageMargins left="0.48" right="0.17" top="0.51" bottom="0.7" header="0.21" footer="0.5"/>
  <pageSetup fitToHeight="2" horizontalDpi="600" verticalDpi="600" orientation="landscape" paperSize="9" scale="61" r:id="rId3"/>
  <headerFooter alignWithMargins="0">
    <oddHeader>&amp;C&amp;F  &amp;D
&amp;RKolga &amp;A
</oddHeader>
    <oddFooter>&amp;C&amp;F  &amp;D&amp;RKolga Soojusenergia  teg ala nr  &amp;A</oddFooter>
  </headerFooter>
  <rowBreaks count="1" manualBreakCount="1">
    <brk id="6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pane xSplit="8" ySplit="2" topLeftCell="S57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E83" sqref="E83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17" width="10.7109375" style="0" bestFit="1" customWidth="1"/>
    <col min="18" max="18" width="11.7109375" style="0" bestFit="1" customWidth="1"/>
    <col min="19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38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95</v>
      </c>
      <c r="P2" s="5" t="s">
        <v>248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2879947.57</v>
      </c>
      <c r="G3" s="4">
        <f>G4+G8+G12</f>
        <v>2914414.3000000003</v>
      </c>
      <c r="H3" s="7">
        <f>SUM(I3:T3)</f>
        <v>2903387.1199999996</v>
      </c>
      <c r="I3" s="40">
        <f>I4+I8+I12</f>
        <v>192979.05</v>
      </c>
      <c r="J3" s="40">
        <f>J4+J8+J12</f>
        <v>195515.15</v>
      </c>
      <c r="K3" s="40">
        <f>K4+K8+K12</f>
        <v>250875.4</v>
      </c>
      <c r="L3" s="40">
        <f>L4+L8+L12</f>
        <v>236767.28</v>
      </c>
      <c r="M3" s="40">
        <f aca="true" t="shared" si="0" ref="M3:T3">M4+M8+M12</f>
        <v>242700</v>
      </c>
      <c r="N3" s="4">
        <f t="shared" si="0"/>
        <v>253534.3</v>
      </c>
      <c r="O3" s="4">
        <f t="shared" si="0"/>
        <v>199066.4</v>
      </c>
      <c r="P3" s="4">
        <f t="shared" si="0"/>
        <v>236298.5</v>
      </c>
      <c r="Q3" s="4">
        <f t="shared" si="0"/>
        <v>266320.86</v>
      </c>
      <c r="R3" s="4">
        <f t="shared" si="0"/>
        <v>253145.8</v>
      </c>
      <c r="S3" s="4">
        <f t="shared" si="0"/>
        <v>280465.8</v>
      </c>
      <c r="T3" s="4">
        <f t="shared" si="0"/>
        <v>295718.57999999996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2226955.57</v>
      </c>
      <c r="G4" s="4">
        <f>G5</f>
        <v>2177241.52</v>
      </c>
      <c r="H4" s="7">
        <f aca="true" t="shared" si="1" ref="H4:H60">SUM(I4:T4)</f>
        <v>2250395.12</v>
      </c>
      <c r="I4" s="40">
        <f>I5</f>
        <v>138563.05</v>
      </c>
      <c r="J4" s="40">
        <f>J5</f>
        <v>141099.15</v>
      </c>
      <c r="K4" s="40">
        <f>K5</f>
        <v>196459.4</v>
      </c>
      <c r="L4" s="40">
        <f>L5</f>
        <v>182351.28</v>
      </c>
      <c r="M4" s="40">
        <f aca="true" t="shared" si="2" ref="M4:T4">M5</f>
        <v>188284</v>
      </c>
      <c r="N4" s="4">
        <f t="shared" si="2"/>
        <v>199118.3</v>
      </c>
      <c r="O4" s="4">
        <f t="shared" si="2"/>
        <v>144650.4</v>
      </c>
      <c r="P4" s="4">
        <f t="shared" si="2"/>
        <v>181882.5</v>
      </c>
      <c r="Q4" s="4">
        <f t="shared" si="2"/>
        <v>211904.86</v>
      </c>
      <c r="R4" s="4">
        <f t="shared" si="2"/>
        <v>198729.8</v>
      </c>
      <c r="S4" s="4">
        <f t="shared" si="2"/>
        <v>226049.8</v>
      </c>
      <c r="T4" s="4">
        <f t="shared" si="2"/>
        <v>241302.58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2226955.57</v>
      </c>
      <c r="G5" s="4">
        <f>G7</f>
        <v>2177241.52</v>
      </c>
      <c r="H5" s="7">
        <f t="shared" si="1"/>
        <v>2250395.12</v>
      </c>
      <c r="I5" s="40">
        <f>I7</f>
        <v>138563.05</v>
      </c>
      <c r="J5" s="40">
        <f>J7</f>
        <v>141099.15</v>
      </c>
      <c r="K5" s="40">
        <f>K7</f>
        <v>196459.4</v>
      </c>
      <c r="L5" s="40">
        <f>L7</f>
        <v>182351.28</v>
      </c>
      <c r="M5" s="40">
        <v>188284</v>
      </c>
      <c r="N5" s="4">
        <f aca="true" t="shared" si="3" ref="N5:T5">N7</f>
        <v>199118.3</v>
      </c>
      <c r="O5" s="4">
        <f t="shared" si="3"/>
        <v>144650.4</v>
      </c>
      <c r="P5" s="4">
        <f t="shared" si="3"/>
        <v>181882.5</v>
      </c>
      <c r="Q5" s="4">
        <f t="shared" si="3"/>
        <v>211904.86</v>
      </c>
      <c r="R5" s="4">
        <f t="shared" si="3"/>
        <v>198729.8</v>
      </c>
      <c r="S5" s="4">
        <f t="shared" si="3"/>
        <v>226049.8</v>
      </c>
      <c r="T5" s="4">
        <f t="shared" si="3"/>
        <v>241302.58</v>
      </c>
    </row>
    <row r="6" spans="1:20" s="11" customFormat="1" ht="11.25">
      <c r="A6" s="8"/>
      <c r="B6" s="8"/>
      <c r="C6" s="8"/>
      <c r="D6" s="8"/>
      <c r="E6" s="8" t="s">
        <v>135</v>
      </c>
      <c r="F6" s="9">
        <v>134921.3</v>
      </c>
      <c r="G6" s="9">
        <v>117805.5</v>
      </c>
      <c r="H6" s="10">
        <f t="shared" si="1"/>
        <v>121682</v>
      </c>
      <c r="I6" s="41">
        <f aca="true" t="shared" si="4" ref="I6:T7">I77</f>
        <v>7658</v>
      </c>
      <c r="J6" s="41">
        <f t="shared" si="4"/>
        <v>7756</v>
      </c>
      <c r="K6" s="41">
        <f t="shared" si="4"/>
        <v>10748</v>
      </c>
      <c r="L6" s="41">
        <f t="shared" si="4"/>
        <v>9987</v>
      </c>
      <c r="M6" s="41">
        <f t="shared" si="4"/>
        <v>10365</v>
      </c>
      <c r="N6" s="9">
        <f t="shared" si="4"/>
        <v>10964</v>
      </c>
      <c r="O6" s="9">
        <f t="shared" si="4"/>
        <v>8069</v>
      </c>
      <c r="P6" s="9">
        <f t="shared" si="4"/>
        <v>9969</v>
      </c>
      <c r="Q6" s="9">
        <f t="shared" si="4"/>
        <v>11575</v>
      </c>
      <c r="R6" s="9">
        <f t="shared" si="4"/>
        <v>10860</v>
      </c>
      <c r="S6" s="9">
        <f t="shared" si="4"/>
        <v>12327</v>
      </c>
      <c r="T6" s="9">
        <f t="shared" si="4"/>
        <v>11404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2226955.57</v>
      </c>
      <c r="G7" s="13">
        <v>2177241.52</v>
      </c>
      <c r="H7" s="10">
        <f t="shared" si="1"/>
        <v>2245293.42</v>
      </c>
      <c r="I7" s="38">
        <f>I78+I80+I82</f>
        <v>138563.05</v>
      </c>
      <c r="J7" s="38">
        <v>141099.15</v>
      </c>
      <c r="K7" s="38">
        <v>196459.4</v>
      </c>
      <c r="L7" s="38">
        <v>182351.28</v>
      </c>
      <c r="M7" s="38">
        <f t="shared" si="4"/>
        <v>183182.3</v>
      </c>
      <c r="N7" s="13">
        <v>199118.3</v>
      </c>
      <c r="O7" s="13">
        <v>144650.4</v>
      </c>
      <c r="P7" s="13">
        <v>181882.5</v>
      </c>
      <c r="Q7" s="13">
        <v>211904.86</v>
      </c>
      <c r="R7" s="13">
        <v>198729.8</v>
      </c>
      <c r="S7" s="13">
        <v>226049.8</v>
      </c>
      <c r="T7" s="13">
        <f>241302.58</f>
        <v>241302.58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652992</v>
      </c>
      <c r="G8" s="4">
        <f>G9+G11</f>
        <v>736325.33</v>
      </c>
      <c r="H8" s="7">
        <f t="shared" si="1"/>
        <v>652992</v>
      </c>
      <c r="I8" s="40">
        <f>I9+I11</f>
        <v>54416</v>
      </c>
      <c r="J8" s="40">
        <f>J9+J11</f>
        <v>54416</v>
      </c>
      <c r="K8" s="40">
        <f>K9+K11</f>
        <v>54416</v>
      </c>
      <c r="L8" s="40">
        <f>L9+L11</f>
        <v>54416</v>
      </c>
      <c r="M8" s="40">
        <f aca="true" t="shared" si="5" ref="M8:T8">M9+M11</f>
        <v>54416</v>
      </c>
      <c r="N8" s="4">
        <f t="shared" si="5"/>
        <v>54416</v>
      </c>
      <c r="O8" s="4">
        <f t="shared" si="5"/>
        <v>54416</v>
      </c>
      <c r="P8" s="4">
        <f t="shared" si="5"/>
        <v>54416</v>
      </c>
      <c r="Q8" s="4">
        <f t="shared" si="5"/>
        <v>54416</v>
      </c>
      <c r="R8" s="4">
        <f t="shared" si="5"/>
        <v>54416</v>
      </c>
      <c r="S8" s="4">
        <f t="shared" si="5"/>
        <v>54416</v>
      </c>
      <c r="T8" s="4">
        <f t="shared" si="5"/>
        <v>54416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0</v>
      </c>
      <c r="G9" s="4">
        <f>G10</f>
        <v>83333.33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6" ref="M9:T9">M10</f>
        <v>0</v>
      </c>
      <c r="N9" s="4">
        <f t="shared" si="6"/>
        <v>0</v>
      </c>
      <c r="O9" s="4">
        <f t="shared" si="6"/>
        <v>0</v>
      </c>
      <c r="P9" s="4">
        <f t="shared" si="6"/>
        <v>0</v>
      </c>
      <c r="Q9" s="4">
        <f t="shared" si="6"/>
        <v>0</v>
      </c>
      <c r="R9" s="4">
        <f t="shared" si="6"/>
        <v>0</v>
      </c>
      <c r="S9" s="4">
        <f t="shared" si="6"/>
        <v>0</v>
      </c>
      <c r="T9" s="4">
        <f t="shared" si="6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0</v>
      </c>
      <c r="G10" s="13">
        <v>83333.33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>
        <v>0</v>
      </c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652992</v>
      </c>
      <c r="G11" s="4">
        <v>652992</v>
      </c>
      <c r="H11" s="7">
        <f t="shared" si="1"/>
        <v>652992</v>
      </c>
      <c r="I11" s="40">
        <v>54416</v>
      </c>
      <c r="J11" s="40">
        <v>54416</v>
      </c>
      <c r="K11" s="40">
        <v>54416</v>
      </c>
      <c r="L11" s="40">
        <v>54416</v>
      </c>
      <c r="M11" s="40">
        <v>54416</v>
      </c>
      <c r="N11" s="4">
        <v>54416</v>
      </c>
      <c r="O11" s="4">
        <v>54416</v>
      </c>
      <c r="P11" s="4">
        <v>54416</v>
      </c>
      <c r="Q11" s="4">
        <v>54416</v>
      </c>
      <c r="R11" s="4">
        <v>54416</v>
      </c>
      <c r="S11" s="4">
        <v>54416</v>
      </c>
      <c r="T11" s="4">
        <v>54416</v>
      </c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847.45</v>
      </c>
      <c r="H12" s="7">
        <f t="shared" si="1"/>
        <v>0</v>
      </c>
      <c r="I12" s="40">
        <f aca="true" t="shared" si="7" ref="I12:T13">I13</f>
        <v>0</v>
      </c>
      <c r="J12" s="40">
        <f t="shared" si="7"/>
        <v>0</v>
      </c>
      <c r="K12" s="40">
        <f t="shared" si="7"/>
        <v>0</v>
      </c>
      <c r="L12" s="40">
        <f t="shared" si="7"/>
        <v>0</v>
      </c>
      <c r="M12" s="40">
        <f t="shared" si="7"/>
        <v>0</v>
      </c>
      <c r="N12" s="4">
        <f t="shared" si="7"/>
        <v>0</v>
      </c>
      <c r="O12" s="4">
        <f t="shared" si="7"/>
        <v>0</v>
      </c>
      <c r="P12" s="4">
        <f t="shared" si="7"/>
        <v>0</v>
      </c>
      <c r="Q12" s="4">
        <f t="shared" si="7"/>
        <v>0</v>
      </c>
      <c r="R12" s="4">
        <f t="shared" si="7"/>
        <v>0</v>
      </c>
      <c r="S12" s="4">
        <f t="shared" si="7"/>
        <v>0</v>
      </c>
      <c r="T12" s="4">
        <f t="shared" si="7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847.45</v>
      </c>
      <c r="H13" s="7">
        <f t="shared" si="1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">
        <f t="shared" si="7"/>
        <v>0</v>
      </c>
      <c r="O13" s="4">
        <f t="shared" si="7"/>
        <v>0</v>
      </c>
      <c r="P13" s="4">
        <f t="shared" si="7"/>
        <v>0</v>
      </c>
      <c r="Q13" s="4">
        <f t="shared" si="7"/>
        <v>0</v>
      </c>
      <c r="R13" s="4">
        <f t="shared" si="7"/>
        <v>0</v>
      </c>
      <c r="S13" s="4">
        <f t="shared" si="7"/>
        <v>0</v>
      </c>
      <c r="T13" s="4">
        <f t="shared" si="7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>
        <v>847.45</v>
      </c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8" ref="I15:T16">I16</f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">
        <f t="shared" si="8"/>
        <v>0</v>
      </c>
      <c r="O15" s="4">
        <f t="shared" si="8"/>
        <v>0</v>
      </c>
      <c r="P15" s="4">
        <f t="shared" si="8"/>
        <v>0</v>
      </c>
      <c r="Q15" s="4">
        <f t="shared" si="8"/>
        <v>0</v>
      </c>
      <c r="R15" s="4">
        <f t="shared" si="8"/>
        <v>0</v>
      </c>
      <c r="S15" s="4">
        <f t="shared" si="8"/>
        <v>0</v>
      </c>
      <c r="T15" s="4">
        <f t="shared" si="8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-684326.5</v>
      </c>
      <c r="G18" s="4">
        <f>G19+G27</f>
        <v>-896595.7</v>
      </c>
      <c r="H18" s="7">
        <f t="shared" si="1"/>
        <v>-942862.4399999998</v>
      </c>
      <c r="I18" s="40">
        <f>I19+I27</f>
        <v>-65363.32</v>
      </c>
      <c r="J18" s="40">
        <f>J19+J27</f>
        <v>-78377.77</v>
      </c>
      <c r="K18" s="40">
        <f>K19+K27</f>
        <v>-83208.42000000001</v>
      </c>
      <c r="L18" s="40">
        <f>L19+L27</f>
        <v>-92741.10999999999</v>
      </c>
      <c r="M18" s="40">
        <f>M19+M27</f>
        <v>-72577</v>
      </c>
      <c r="N18" s="4">
        <f aca="true" t="shared" si="9" ref="N18:T18">N19+N27</f>
        <v>-61449.78</v>
      </c>
      <c r="O18" s="4">
        <f t="shared" si="9"/>
        <v>-106290.57</v>
      </c>
      <c r="P18" s="4">
        <f t="shared" si="9"/>
        <v>-57751.44</v>
      </c>
      <c r="Q18" s="4">
        <f t="shared" si="9"/>
        <v>-63331.6</v>
      </c>
      <c r="R18" s="4">
        <f t="shared" si="9"/>
        <v>-120937.12000000001</v>
      </c>
      <c r="S18" s="4">
        <f t="shared" si="9"/>
        <v>-92296.61</v>
      </c>
      <c r="T18" s="4">
        <f t="shared" si="9"/>
        <v>-48537.7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-314687.1</v>
      </c>
      <c r="G19" s="4">
        <f>G20+G26+G23</f>
        <v>-389978.75</v>
      </c>
      <c r="H19" s="7">
        <f t="shared" si="1"/>
        <v>-380235.25</v>
      </c>
      <c r="I19" s="40">
        <f>I20+I26+I23</f>
        <v>-33435.1</v>
      </c>
      <c r="J19" s="40">
        <f>J20+J26+J23</f>
        <v>-32354.6</v>
      </c>
      <c r="K19" s="40">
        <f>K20+K26+K23</f>
        <v>-37117.8</v>
      </c>
      <c r="L19" s="40">
        <f>L20+L26+L23</f>
        <v>-34741.35</v>
      </c>
      <c r="M19" s="40">
        <f aca="true" t="shared" si="10" ref="M19:T19">M20+M26+M23</f>
        <v>-37412.55</v>
      </c>
      <c r="N19" s="4">
        <f t="shared" si="10"/>
        <v>-28286.2</v>
      </c>
      <c r="O19" s="4">
        <f t="shared" si="10"/>
        <v>-47985.2</v>
      </c>
      <c r="P19" s="4">
        <f t="shared" si="10"/>
        <v>-25061.8</v>
      </c>
      <c r="Q19" s="4">
        <f t="shared" si="10"/>
        <v>-30013.1</v>
      </c>
      <c r="R19" s="4">
        <f t="shared" si="10"/>
        <v>-30088.05</v>
      </c>
      <c r="S19" s="4">
        <f t="shared" si="10"/>
        <v>-29034.8</v>
      </c>
      <c r="T19" s="4">
        <f t="shared" si="10"/>
        <v>-14704.7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-236080.18</v>
      </c>
      <c r="G20" s="4">
        <f>SUM(G21:G22)</f>
        <v>-291064.75</v>
      </c>
      <c r="H20" s="7">
        <f t="shared" si="1"/>
        <v>-283071.25</v>
      </c>
      <c r="I20" s="40">
        <f>SUM(I21:I22)</f>
        <v>-24878.1</v>
      </c>
      <c r="J20" s="40">
        <f>SUM(J21:J22)</f>
        <v>-24072.6</v>
      </c>
      <c r="K20" s="40">
        <f>SUM(K21:K22)</f>
        <v>-27616.8</v>
      </c>
      <c r="L20" s="40">
        <f>SUM(L21:L22)</f>
        <v>-25848.35</v>
      </c>
      <c r="M20" s="40">
        <f aca="true" t="shared" si="11" ref="M20:T20">SUM(M21:M22)</f>
        <v>-27835.55</v>
      </c>
      <c r="N20" s="4">
        <f t="shared" si="11"/>
        <v>-21045.2</v>
      </c>
      <c r="O20" s="4">
        <f t="shared" si="11"/>
        <v>-35703.2</v>
      </c>
      <c r="P20" s="4">
        <f t="shared" si="11"/>
        <v>-18645.8</v>
      </c>
      <c r="Q20" s="4">
        <f t="shared" si="11"/>
        <v>-22330.1</v>
      </c>
      <c r="R20" s="4">
        <f t="shared" si="11"/>
        <v>-22552.05</v>
      </c>
      <c r="S20" s="4">
        <f t="shared" si="11"/>
        <v>-21602.8</v>
      </c>
      <c r="T20" s="4">
        <f t="shared" si="11"/>
        <v>-10940.7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-236080.18</v>
      </c>
      <c r="G21" s="13">
        <v>-277272.75</v>
      </c>
      <c r="H21" s="10">
        <f t="shared" si="1"/>
        <v>-276343.75</v>
      </c>
      <c r="I21" s="38">
        <v>-24878.1</v>
      </c>
      <c r="J21" s="38">
        <v>-24072.6</v>
      </c>
      <c r="K21" s="38">
        <v>-27616.8</v>
      </c>
      <c r="L21" s="38">
        <v>-25848.35</v>
      </c>
      <c r="M21" s="38">
        <v>-27835.55</v>
      </c>
      <c r="N21" s="13">
        <v>-21045.2</v>
      </c>
      <c r="O21" s="13">
        <v>-35703.2</v>
      </c>
      <c r="P21" s="13">
        <v>-11918.3</v>
      </c>
      <c r="Q21" s="13">
        <v>-22330.1</v>
      </c>
      <c r="R21" s="13">
        <v>-22552.05</v>
      </c>
      <c r="S21" s="13">
        <v>-21602.8</v>
      </c>
      <c r="T21" s="13">
        <v>-10940.7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>
        <v>-13792</v>
      </c>
      <c r="H22" s="10">
        <f t="shared" si="1"/>
        <v>-6727.5</v>
      </c>
      <c r="I22" s="38"/>
      <c r="J22" s="38"/>
      <c r="K22" s="38"/>
      <c r="L22" s="38"/>
      <c r="M22" s="38"/>
      <c r="N22" s="13"/>
      <c r="O22" s="13"/>
      <c r="P22" s="13">
        <v>-6727.5</v>
      </c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2" ref="M23:T23">SUM(M24:M25)</f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  <c r="T23" s="15">
        <f t="shared" si="12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-78606.92</v>
      </c>
      <c r="G26" s="4">
        <v>-98914</v>
      </c>
      <c r="H26" s="7">
        <f t="shared" si="1"/>
        <v>-97164</v>
      </c>
      <c r="I26" s="40">
        <v>-8557</v>
      </c>
      <c r="J26" s="40">
        <v>-8282</v>
      </c>
      <c r="K26" s="40">
        <v>-9501</v>
      </c>
      <c r="L26" s="40">
        <v>-8893</v>
      </c>
      <c r="M26" s="40">
        <v>-9577</v>
      </c>
      <c r="N26" s="4">
        <v>-7241</v>
      </c>
      <c r="O26" s="4">
        <v>-12282</v>
      </c>
      <c r="P26" s="4">
        <v>-6416</v>
      </c>
      <c r="Q26" s="4">
        <v>-7683</v>
      </c>
      <c r="R26" s="4">
        <v>-7536</v>
      </c>
      <c r="S26" s="4">
        <v>-7432</v>
      </c>
      <c r="T26" s="4">
        <v>-3764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-369639.39999999997</v>
      </c>
      <c r="G27" s="4">
        <f>SUM(G28:G41)</f>
        <v>-506616.95</v>
      </c>
      <c r="H27" s="7">
        <f t="shared" si="1"/>
        <v>-562627.1900000001</v>
      </c>
      <c r="I27" s="40">
        <f>SUM(I28:I41)</f>
        <v>-31928.22</v>
      </c>
      <c r="J27" s="40">
        <f aca="true" t="shared" si="13" ref="J27:T27">SUM(J28:J41)</f>
        <v>-46023.170000000006</v>
      </c>
      <c r="K27" s="40">
        <f t="shared" si="13"/>
        <v>-46090.62</v>
      </c>
      <c r="L27" s="40">
        <f t="shared" si="13"/>
        <v>-57999.759999999995</v>
      </c>
      <c r="M27" s="40">
        <f t="shared" si="13"/>
        <v>-35164.450000000004</v>
      </c>
      <c r="N27" s="4">
        <f t="shared" si="13"/>
        <v>-33163.58</v>
      </c>
      <c r="O27" s="4">
        <f t="shared" si="13"/>
        <v>-58305.37</v>
      </c>
      <c r="P27" s="4">
        <f t="shared" si="13"/>
        <v>-32689.640000000003</v>
      </c>
      <c r="Q27" s="4">
        <f t="shared" si="13"/>
        <v>-33318.5</v>
      </c>
      <c r="R27" s="4">
        <f t="shared" si="13"/>
        <v>-90849.07</v>
      </c>
      <c r="S27" s="4">
        <f t="shared" si="13"/>
        <v>-63261.81</v>
      </c>
      <c r="T27" s="4">
        <f t="shared" si="13"/>
        <v>-33833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-4734.1</v>
      </c>
      <c r="G28" s="13">
        <v>-5631.55</v>
      </c>
      <c r="H28" s="10">
        <f t="shared" si="1"/>
        <v>-80054.09</v>
      </c>
      <c r="I28" s="38">
        <v>-201.02</v>
      </c>
      <c r="J28" s="38">
        <v>-293.59</v>
      </c>
      <c r="K28" s="38">
        <v>-249.13</v>
      </c>
      <c r="L28" s="38">
        <v>-859.28</v>
      </c>
      <c r="M28" s="38">
        <v>-226.88</v>
      </c>
      <c r="N28" s="13">
        <v>-1429</v>
      </c>
      <c r="O28" s="13">
        <v>-501.32</v>
      </c>
      <c r="P28" s="13">
        <v>-213.72</v>
      </c>
      <c r="Q28" s="13">
        <v>-266.44</v>
      </c>
      <c r="R28" s="13">
        <v>-43240.37</v>
      </c>
      <c r="S28" s="13">
        <v>-30318.28</v>
      </c>
      <c r="T28" s="13">
        <v>-2255.06</v>
      </c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>
        <v>-5864.75</v>
      </c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-20787.13</v>
      </c>
      <c r="G30" s="13">
        <v>-13968.74</v>
      </c>
      <c r="H30" s="10">
        <f t="shared" si="1"/>
        <v>-15774.71</v>
      </c>
      <c r="I30" s="38">
        <v>-1146.95</v>
      </c>
      <c r="J30" s="38">
        <v>-1133.95</v>
      </c>
      <c r="K30" s="38">
        <v>-1511.96</v>
      </c>
      <c r="L30" s="38">
        <v>-1492.94</v>
      </c>
      <c r="M30" s="38">
        <v>-1564.89</v>
      </c>
      <c r="N30" s="13">
        <v>-1536.3</v>
      </c>
      <c r="O30" s="13">
        <v>-1613.72</v>
      </c>
      <c r="P30" s="13">
        <v>-1550.37</v>
      </c>
      <c r="Q30" s="13">
        <v>-523.09</v>
      </c>
      <c r="R30" s="13">
        <v>-1592.6</v>
      </c>
      <c r="S30" s="13">
        <v>-1566.19</v>
      </c>
      <c r="T30" s="13">
        <v>-541.75</v>
      </c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-245505.63</v>
      </c>
      <c r="G31" s="13">
        <v>-269347.64</v>
      </c>
      <c r="H31" s="10">
        <f t="shared" si="1"/>
        <v>-352877.74</v>
      </c>
      <c r="I31" s="38">
        <v>-19340.87</v>
      </c>
      <c r="J31" s="38">
        <v>-35947.55</v>
      </c>
      <c r="K31" s="38">
        <v>-27852.57</v>
      </c>
      <c r="L31" s="38">
        <v>-45577.85</v>
      </c>
      <c r="M31" s="38">
        <v>-24918.58</v>
      </c>
      <c r="N31" s="13">
        <v>-24464.64</v>
      </c>
      <c r="O31" s="13">
        <v>-32366.3</v>
      </c>
      <c r="P31" s="13">
        <v>-26685.76</v>
      </c>
      <c r="Q31" s="13">
        <v>-26241.76</v>
      </c>
      <c r="R31" s="13">
        <v>-33097.09</v>
      </c>
      <c r="S31" s="13">
        <f>-30928.19+3189.62</f>
        <v>-27738.57</v>
      </c>
      <c r="T31" s="13">
        <v>-28646.2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-36496.72</v>
      </c>
      <c r="G32" s="13">
        <v>-74336.87</v>
      </c>
      <c r="H32" s="10">
        <f t="shared" si="1"/>
        <v>-52575.89</v>
      </c>
      <c r="I32" s="38">
        <v>-6042.25</v>
      </c>
      <c r="J32" s="38">
        <v>-4698.08</v>
      </c>
      <c r="K32" s="38">
        <v>-5626.96</v>
      </c>
      <c r="L32" s="38">
        <v>-8500.1</v>
      </c>
      <c r="M32" s="38">
        <v>-6841.6</v>
      </c>
      <c r="N32" s="13">
        <v>-4358.31</v>
      </c>
      <c r="O32" s="13">
        <v>-2664.87</v>
      </c>
      <c r="P32" s="13">
        <v>-2857.9</v>
      </c>
      <c r="Q32" s="13">
        <v>-3848.88</v>
      </c>
      <c r="R32" s="13">
        <v>-2518.78</v>
      </c>
      <c r="S32" s="13">
        <v>-2306.55</v>
      </c>
      <c r="T32" s="13">
        <v>-2311.61</v>
      </c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/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>
        <v>0</v>
      </c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-2183.81</v>
      </c>
      <c r="G34" s="13">
        <v>-9988.05</v>
      </c>
      <c r="H34" s="10">
        <f t="shared" si="1"/>
        <v>-5872.21</v>
      </c>
      <c r="I34" s="38">
        <v>-672.13</v>
      </c>
      <c r="J34" s="38">
        <v>-3250</v>
      </c>
      <c r="K34" s="38"/>
      <c r="L34" s="38"/>
      <c r="M34" s="38"/>
      <c r="N34" s="13"/>
      <c r="O34" s="13">
        <v>-415.83</v>
      </c>
      <c r="P34" s="13"/>
      <c r="Q34" s="13">
        <v>-1245</v>
      </c>
      <c r="R34" s="13">
        <v>-289.25</v>
      </c>
      <c r="S34" s="13">
        <v>0</v>
      </c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>
        <v>-24505.56</v>
      </c>
      <c r="G35" s="13">
        <v>-98114.08</v>
      </c>
      <c r="H35" s="10">
        <f t="shared" si="1"/>
        <v>-25477.010000000006</v>
      </c>
      <c r="I35" s="38">
        <v>-4000</v>
      </c>
      <c r="J35" s="38">
        <v>-700</v>
      </c>
      <c r="K35" s="38"/>
      <c r="L35" s="38"/>
      <c r="M35" s="38">
        <v>-1612.5</v>
      </c>
      <c r="N35" s="13">
        <v>-1375.33</v>
      </c>
      <c r="O35" s="13">
        <v>-14610</v>
      </c>
      <c r="P35" s="13">
        <v>-1125.83</v>
      </c>
      <c r="Q35" s="13">
        <v>-1193.33</v>
      </c>
      <c r="R35" s="13">
        <v>-860.02</v>
      </c>
      <c r="S35" s="13">
        <v>0</v>
      </c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-741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0</v>
      </c>
      <c r="G38" s="13"/>
      <c r="H38" s="10">
        <f t="shared" si="1"/>
        <v>-525</v>
      </c>
      <c r="I38" s="38">
        <v>-525</v>
      </c>
      <c r="J38" s="38">
        <f>(J86+J89)*-1</f>
        <v>0</v>
      </c>
      <c r="K38" s="38">
        <f>(K86+K89)*-1</f>
        <v>0</v>
      </c>
      <c r="L38" s="38">
        <f>(L86+L89)*-1</f>
        <v>0</v>
      </c>
      <c r="M38" s="38">
        <f aca="true" t="shared" si="14" ref="M38:T38">(M86+M89)*-1</f>
        <v>0</v>
      </c>
      <c r="N38" s="13">
        <f t="shared" si="14"/>
        <v>0</v>
      </c>
      <c r="O38" s="13">
        <f t="shared" si="14"/>
        <v>0</v>
      </c>
      <c r="P38" s="13">
        <f t="shared" si="14"/>
        <v>0</v>
      </c>
      <c r="Q38" s="13"/>
      <c r="R38" s="13">
        <f t="shared" si="14"/>
        <v>0</v>
      </c>
      <c r="S38" s="13">
        <f t="shared" si="14"/>
        <v>0</v>
      </c>
      <c r="T38" s="13">
        <f t="shared" si="14"/>
        <v>0</v>
      </c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-521.7</v>
      </c>
      <c r="G39" s="13">
        <v>-2844.93</v>
      </c>
      <c r="H39" s="10">
        <f t="shared" si="1"/>
        <v>-3487.21</v>
      </c>
      <c r="I39" s="38"/>
      <c r="J39" s="38"/>
      <c r="K39" s="38"/>
      <c r="L39" s="38">
        <v>-1569.59</v>
      </c>
      <c r="M39" s="38"/>
      <c r="N39" s="13"/>
      <c r="O39" s="13"/>
      <c r="P39" s="13">
        <v>-256.06</v>
      </c>
      <c r="Q39" s="13"/>
      <c r="R39" s="13">
        <v>-250.96</v>
      </c>
      <c r="S39" s="13">
        <v>-1332.22</v>
      </c>
      <c r="T39" s="13">
        <v>-78.38</v>
      </c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-29040</v>
      </c>
      <c r="G40" s="13">
        <v>-31644.09</v>
      </c>
      <c r="H40" s="10">
        <f t="shared" si="1"/>
        <v>-25983.33</v>
      </c>
      <c r="I40" s="38"/>
      <c r="J40" s="38"/>
      <c r="K40" s="38">
        <v>-10850</v>
      </c>
      <c r="L40" s="38"/>
      <c r="M40" s="38"/>
      <c r="N40" s="13"/>
      <c r="O40" s="13">
        <v>-6133.33</v>
      </c>
      <c r="P40" s="13"/>
      <c r="Q40" s="13"/>
      <c r="R40" s="13">
        <v>-9000</v>
      </c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-1354700.4</v>
      </c>
      <c r="G42" s="4">
        <f>G43+G48+G55+G58</f>
        <v>-1089735.48</v>
      </c>
      <c r="H42" s="4">
        <f t="shared" si="1"/>
        <v>-1076671</v>
      </c>
      <c r="I42" s="40">
        <f aca="true" t="shared" si="15" ref="I42:T42">I43+I48+I55+I58</f>
        <v>-80299.32</v>
      </c>
      <c r="J42" s="40">
        <f t="shared" si="15"/>
        <v>-79896.83</v>
      </c>
      <c r="K42" s="40">
        <f t="shared" si="15"/>
        <v>-104415.92</v>
      </c>
      <c r="L42" s="40">
        <f t="shared" si="15"/>
        <v>-80297.6</v>
      </c>
      <c r="M42" s="40">
        <f t="shared" si="15"/>
        <v>-80419.34</v>
      </c>
      <c r="N42" s="4">
        <f t="shared" si="15"/>
        <v>-109039.06999999999</v>
      </c>
      <c r="O42" s="4">
        <f t="shared" si="15"/>
        <v>-82159.13</v>
      </c>
      <c r="P42" s="4">
        <f t="shared" si="15"/>
        <v>-82214.25</v>
      </c>
      <c r="Q42" s="4">
        <f t="shared" si="15"/>
        <v>-103105.28</v>
      </c>
      <c r="R42" s="4">
        <f>R43+R48+R55+R58</f>
        <v>-76982.38</v>
      </c>
      <c r="S42" s="4">
        <f t="shared" si="15"/>
        <v>-78633.7</v>
      </c>
      <c r="T42" s="4">
        <f t="shared" si="15"/>
        <v>-119208.18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-239206.69</v>
      </c>
      <c r="G43" s="4">
        <f>G44+G46+G47</f>
        <v>-98166.71</v>
      </c>
      <c r="H43" s="7">
        <f t="shared" si="1"/>
        <v>-114985.10999999999</v>
      </c>
      <c r="I43" s="40">
        <f aca="true" t="shared" si="16" ref="I43:T43">I44+I46+I47</f>
        <v>0</v>
      </c>
      <c r="J43" s="40">
        <f t="shared" si="16"/>
        <v>-32</v>
      </c>
      <c r="K43" s="40">
        <f t="shared" si="16"/>
        <v>-21254</v>
      </c>
      <c r="L43" s="40">
        <f t="shared" si="16"/>
        <v>0</v>
      </c>
      <c r="M43" s="40">
        <f t="shared" si="16"/>
        <v>-88</v>
      </c>
      <c r="N43" s="4">
        <f t="shared" si="16"/>
        <v>-28123.649999999998</v>
      </c>
      <c r="O43" s="4">
        <f t="shared" si="16"/>
        <v>0</v>
      </c>
      <c r="P43" s="4">
        <f t="shared" si="16"/>
        <v>-125.2</v>
      </c>
      <c r="Q43" s="4">
        <f t="shared" si="16"/>
        <v>-21241.59</v>
      </c>
      <c r="R43" s="4">
        <f t="shared" si="16"/>
        <v>-33</v>
      </c>
      <c r="S43" s="4">
        <f t="shared" si="16"/>
        <v>-1908</v>
      </c>
      <c r="T43" s="4">
        <f t="shared" si="16"/>
        <v>-42179.67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-239206.69</v>
      </c>
      <c r="G44" s="4">
        <f>G45</f>
        <v>-98166.71</v>
      </c>
      <c r="H44" s="7">
        <f t="shared" si="1"/>
        <v>-111825.07999999999</v>
      </c>
      <c r="I44" s="40">
        <f>I45</f>
        <v>0</v>
      </c>
      <c r="J44" s="40">
        <f>J45</f>
        <v>-32</v>
      </c>
      <c r="K44" s="40">
        <f>K45</f>
        <v>-21254</v>
      </c>
      <c r="L44" s="40">
        <f>L45</f>
        <v>0</v>
      </c>
      <c r="M44" s="40">
        <f aca="true" t="shared" si="17" ref="M44:T44">M45</f>
        <v>-88</v>
      </c>
      <c r="N44" s="4">
        <f t="shared" si="17"/>
        <v>-27650.87</v>
      </c>
      <c r="O44" s="4">
        <f t="shared" si="17"/>
        <v>0</v>
      </c>
      <c r="P44" s="4">
        <f t="shared" si="17"/>
        <v>-125.2</v>
      </c>
      <c r="Q44" s="4">
        <f t="shared" si="17"/>
        <v>-21241.59</v>
      </c>
      <c r="R44" s="4">
        <f t="shared" si="17"/>
        <v>-33</v>
      </c>
      <c r="S44" s="4">
        <f t="shared" si="17"/>
        <v>-1908</v>
      </c>
      <c r="T44" s="4">
        <f t="shared" si="17"/>
        <v>-39492.42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-239206.69</v>
      </c>
      <c r="G45" s="13">
        <v>-98166.71</v>
      </c>
      <c r="H45" s="10">
        <f t="shared" si="1"/>
        <v>-111825.07999999999</v>
      </c>
      <c r="I45" s="38"/>
      <c r="J45" s="38">
        <v>-32</v>
      </c>
      <c r="K45" s="38">
        <v>-21254</v>
      </c>
      <c r="L45" s="38"/>
      <c r="M45" s="38">
        <v>-88</v>
      </c>
      <c r="N45" s="13">
        <v>-27650.87</v>
      </c>
      <c r="O45" s="13"/>
      <c r="P45" s="13">
        <v>-125.2</v>
      </c>
      <c r="Q45" s="13">
        <v>-21241.59</v>
      </c>
      <c r="R45" s="13">
        <v>-33</v>
      </c>
      <c r="S45" s="13">
        <v>-1908</v>
      </c>
      <c r="T45" s="13">
        <v>-39492.42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0</v>
      </c>
      <c r="H46" s="7">
        <f t="shared" si="1"/>
        <v>-2308.65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>
        <v>-2308.65</v>
      </c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-851.38</v>
      </c>
      <c r="I47" s="42"/>
      <c r="J47" s="42"/>
      <c r="K47" s="42"/>
      <c r="L47" s="42"/>
      <c r="M47" s="42"/>
      <c r="N47" s="15">
        <v>-472.78</v>
      </c>
      <c r="O47" s="15"/>
      <c r="P47" s="15"/>
      <c r="Q47" s="15"/>
      <c r="R47" s="15"/>
      <c r="S47" s="15"/>
      <c r="T47" s="15">
        <v>-378.6</v>
      </c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-907791</v>
      </c>
      <c r="G48" s="4">
        <f>G54+G49</f>
        <v>-903558</v>
      </c>
      <c r="H48" s="7">
        <f t="shared" si="1"/>
        <v>-906156</v>
      </c>
      <c r="I48" s="40">
        <f>I54+I49</f>
        <v>-76388</v>
      </c>
      <c r="J48" s="40">
        <f>J54+J49</f>
        <v>-76385</v>
      </c>
      <c r="K48" s="40">
        <f>K54+K49</f>
        <v>-76392</v>
      </c>
      <c r="L48" s="40">
        <f>L54+L49</f>
        <v>-76887</v>
      </c>
      <c r="M48" s="40">
        <f aca="true" t="shared" si="18" ref="M48:T48">M54+M49</f>
        <v>-76887</v>
      </c>
      <c r="N48" s="4">
        <f t="shared" si="18"/>
        <v>-76889</v>
      </c>
      <c r="O48" s="4">
        <f t="shared" si="18"/>
        <v>-76887</v>
      </c>
      <c r="P48" s="4">
        <f t="shared" si="18"/>
        <v>-76886</v>
      </c>
      <c r="Q48" s="4">
        <f t="shared" si="18"/>
        <v>-76892</v>
      </c>
      <c r="R48" s="4">
        <f t="shared" si="18"/>
        <v>-71888</v>
      </c>
      <c r="S48" s="4">
        <f t="shared" si="18"/>
        <v>-71886</v>
      </c>
      <c r="T48" s="4">
        <f t="shared" si="18"/>
        <v>-71889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-906391</v>
      </c>
      <c r="G49" s="4">
        <f>SUM(G50:G53)</f>
        <v>-903558</v>
      </c>
      <c r="H49" s="7">
        <f t="shared" si="1"/>
        <v>-906156</v>
      </c>
      <c r="I49" s="40">
        <f>SUM(I50:I53)</f>
        <v>-76388</v>
      </c>
      <c r="J49" s="40">
        <f>SUM(J50:J53)</f>
        <v>-76385</v>
      </c>
      <c r="K49" s="40">
        <f>SUM(K50:K53)</f>
        <v>-76392</v>
      </c>
      <c r="L49" s="40">
        <f>SUM(L50:L53)</f>
        <v>-76887</v>
      </c>
      <c r="M49" s="40">
        <f aca="true" t="shared" si="19" ref="M49:T49">SUM(M50:M53)</f>
        <v>-76887</v>
      </c>
      <c r="N49" s="4">
        <f t="shared" si="19"/>
        <v>-76889</v>
      </c>
      <c r="O49" s="4">
        <f t="shared" si="19"/>
        <v>-76887</v>
      </c>
      <c r="P49" s="4">
        <f t="shared" si="19"/>
        <v>-76886</v>
      </c>
      <c r="Q49" s="4">
        <f t="shared" si="19"/>
        <v>-76892</v>
      </c>
      <c r="R49" s="4">
        <f t="shared" si="19"/>
        <v>-71888</v>
      </c>
      <c r="S49" s="4">
        <f t="shared" si="19"/>
        <v>-71886</v>
      </c>
      <c r="T49" s="4">
        <f t="shared" si="19"/>
        <v>-71889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-902849</v>
      </c>
      <c r="G50" s="13">
        <v>-900016</v>
      </c>
      <c r="H50" s="10">
        <f t="shared" si="1"/>
        <v>-885759</v>
      </c>
      <c r="I50" s="38">
        <v>-75064</v>
      </c>
      <c r="J50" s="38">
        <v>-75062</v>
      </c>
      <c r="K50" s="38">
        <v>-75067</v>
      </c>
      <c r="L50" s="38">
        <v>-75062</v>
      </c>
      <c r="M50" s="38">
        <v>-75063</v>
      </c>
      <c r="N50" s="13">
        <v>-75063</v>
      </c>
      <c r="O50" s="13">
        <v>-75062</v>
      </c>
      <c r="P50" s="13">
        <v>-75062</v>
      </c>
      <c r="Q50" s="13">
        <v>-75066</v>
      </c>
      <c r="R50" s="13">
        <v>-70063</v>
      </c>
      <c r="S50" s="13">
        <v>-70062</v>
      </c>
      <c r="T50" s="13">
        <v>-70063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>
        <v>-3542</v>
      </c>
      <c r="G51" s="13">
        <v>-3542</v>
      </c>
      <c r="H51" s="10">
        <f t="shared" si="1"/>
        <v>-20397</v>
      </c>
      <c r="I51" s="38">
        <v>-1324</v>
      </c>
      <c r="J51" s="38">
        <v>-1323</v>
      </c>
      <c r="K51" s="38">
        <v>-1325</v>
      </c>
      <c r="L51" s="38">
        <v>-1825</v>
      </c>
      <c r="M51" s="38">
        <v>-1824</v>
      </c>
      <c r="N51" s="13">
        <v>-1826</v>
      </c>
      <c r="O51" s="13">
        <v>-1825</v>
      </c>
      <c r="P51" s="13">
        <v>-1824</v>
      </c>
      <c r="Q51" s="13">
        <v>-1826</v>
      </c>
      <c r="R51" s="13">
        <v>-1825</v>
      </c>
      <c r="S51" s="13">
        <v>-1824</v>
      </c>
      <c r="T51" s="13">
        <v>-1826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3"/>
      <c r="P52" s="13"/>
      <c r="Q52" s="13"/>
      <c r="R52" s="13"/>
      <c r="S52" s="13"/>
      <c r="T52" s="13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-1400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-207702.71</v>
      </c>
      <c r="G55" s="4">
        <f>G57+G56</f>
        <v>-88010.77</v>
      </c>
      <c r="H55" s="7">
        <f t="shared" si="1"/>
        <v>-55529.89</v>
      </c>
      <c r="I55" s="40">
        <f>I57+I56</f>
        <v>-3911.32</v>
      </c>
      <c r="J55" s="40">
        <f>J57+J56</f>
        <v>-3479.83</v>
      </c>
      <c r="K55" s="40">
        <f>K57+K56</f>
        <v>-6769.92</v>
      </c>
      <c r="L55" s="40">
        <f>L57+L56</f>
        <v>-3410.6</v>
      </c>
      <c r="M55" s="40">
        <f aca="true" t="shared" si="20" ref="M55:T55">M57+M56</f>
        <v>-3444.34</v>
      </c>
      <c r="N55" s="4">
        <f t="shared" si="20"/>
        <v>-4026.42</v>
      </c>
      <c r="O55" s="4">
        <f t="shared" si="20"/>
        <v>-5272.13</v>
      </c>
      <c r="P55" s="4">
        <f t="shared" si="20"/>
        <v>-5203.05</v>
      </c>
      <c r="Q55" s="4">
        <f t="shared" si="20"/>
        <v>-4971.69</v>
      </c>
      <c r="R55" s="4">
        <f t="shared" si="20"/>
        <v>-5061.38</v>
      </c>
      <c r="S55" s="4">
        <f t="shared" si="20"/>
        <v>-4839.7</v>
      </c>
      <c r="T55" s="4">
        <f t="shared" si="20"/>
        <v>-5139.51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>
        <v>-207702.71</v>
      </c>
      <c r="G56" s="4">
        <v>-88010.77</v>
      </c>
      <c r="H56" s="7">
        <f t="shared" si="1"/>
        <v>-55529.89</v>
      </c>
      <c r="I56" s="40">
        <v>-3911.32</v>
      </c>
      <c r="J56" s="40">
        <v>-3479.83</v>
      </c>
      <c r="K56" s="40">
        <v>-6769.92</v>
      </c>
      <c r="L56" s="40">
        <v>-3410.6</v>
      </c>
      <c r="M56" s="40">
        <v>-3444.34</v>
      </c>
      <c r="N56" s="4">
        <v>-4026.42</v>
      </c>
      <c r="O56" s="4">
        <v>-5272.13</v>
      </c>
      <c r="P56" s="4">
        <v>-5203.05</v>
      </c>
      <c r="Q56" s="4">
        <v>-4971.69</v>
      </c>
      <c r="R56" s="4">
        <v>-5061.38</v>
      </c>
      <c r="S56" s="4">
        <v>-4839.7</v>
      </c>
      <c r="T56" s="4">
        <v>-5139.51</v>
      </c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840920.6699999999</v>
      </c>
      <c r="G59" s="7">
        <f>G3+G15+G18+G42</f>
        <v>928083.1200000003</v>
      </c>
      <c r="H59" s="7">
        <f t="shared" si="1"/>
        <v>883853.6799999999</v>
      </c>
      <c r="I59" s="43">
        <f>I3+I15+I18+I42</f>
        <v>47316.409999999974</v>
      </c>
      <c r="J59" s="43">
        <f>J3+J15+J18+J42</f>
        <v>37240.54999999999</v>
      </c>
      <c r="K59" s="43">
        <f>K3+K15+K18+K42</f>
        <v>63251.05999999998</v>
      </c>
      <c r="L59" s="43">
        <f>L3+L15+L18+L42</f>
        <v>63728.57000000001</v>
      </c>
      <c r="M59" s="43">
        <f aca="true" t="shared" si="21" ref="M59:T59">M3+M15+M18+M42</f>
        <v>89703.66</v>
      </c>
      <c r="N59" s="7">
        <f t="shared" si="21"/>
        <v>83045.45</v>
      </c>
      <c r="O59" s="7">
        <f t="shared" si="21"/>
        <v>10616.699999999983</v>
      </c>
      <c r="P59" s="7">
        <f t="shared" si="21"/>
        <v>96332.81</v>
      </c>
      <c r="Q59" s="7">
        <f t="shared" si="21"/>
        <v>99883.97999999998</v>
      </c>
      <c r="R59" s="7">
        <f t="shared" si="21"/>
        <v>55226.29999999999</v>
      </c>
      <c r="S59" s="7">
        <f t="shared" si="21"/>
        <v>109535.49</v>
      </c>
      <c r="T59" s="7">
        <f t="shared" si="21"/>
        <v>127972.69999999995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26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266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246</v>
      </c>
      <c r="O61" s="5" t="s">
        <v>95</v>
      </c>
      <c r="P61" s="5" t="s">
        <v>248</v>
      </c>
      <c r="Q61" s="5" t="s">
        <v>97</v>
      </c>
      <c r="R61" s="5" t="s">
        <v>98</v>
      </c>
      <c r="S61" s="5" t="s">
        <v>99</v>
      </c>
      <c r="T61" s="5" t="s">
        <v>100</v>
      </c>
    </row>
    <row r="62" spans="5:20" ht="12.75">
      <c r="E62" s="18" t="s">
        <v>68</v>
      </c>
      <c r="F62" s="112"/>
      <c r="G62" s="112"/>
      <c r="H62" s="21">
        <f>SUM(I62:T62)</f>
        <v>286197.25</v>
      </c>
      <c r="I62" s="44">
        <f>SUM(I63:I71)</f>
        <v>24878.1</v>
      </c>
      <c r="J62" s="44">
        <f>SUM(J63:J71)</f>
        <v>24072.6</v>
      </c>
      <c r="K62" s="44">
        <f>SUM(K63:K71)</f>
        <v>27616.8</v>
      </c>
      <c r="L62" s="44">
        <f>SUM(L63:L71)</f>
        <v>25848.35</v>
      </c>
      <c r="M62" s="44">
        <f aca="true" t="shared" si="22" ref="M62:T62">SUM(M63:M71)</f>
        <v>27835.55</v>
      </c>
      <c r="N62">
        <f t="shared" si="22"/>
        <v>21045.199999999997</v>
      </c>
      <c r="O62">
        <f t="shared" si="22"/>
        <v>35703.2</v>
      </c>
      <c r="P62">
        <f t="shared" si="22"/>
        <v>18645.8</v>
      </c>
      <c r="Q62">
        <f t="shared" si="22"/>
        <v>22330.1</v>
      </c>
      <c r="R62">
        <f t="shared" si="22"/>
        <v>25678.05</v>
      </c>
      <c r="S62">
        <f t="shared" si="22"/>
        <v>21602.8</v>
      </c>
      <c r="T62">
        <f t="shared" si="22"/>
        <v>10940.7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254356.3</v>
      </c>
      <c r="I63" s="46">
        <f>6727.5+18150.6</f>
        <v>24878.1</v>
      </c>
      <c r="J63" s="46">
        <f>6727.5+17345.1</f>
        <v>24072.6</v>
      </c>
      <c r="K63" s="46">
        <f>6727.5+20889.3</f>
        <v>27616.8</v>
      </c>
      <c r="L63" s="46">
        <f>6674.1+11894.1</f>
        <v>18568.2</v>
      </c>
      <c r="M63" s="46">
        <f>6727.5+15206.1</f>
        <v>21933.6</v>
      </c>
      <c r="N63" s="24">
        <f>6727.5+12788.6</f>
        <v>19516.1</v>
      </c>
      <c r="O63" s="24">
        <v>19415.45</v>
      </c>
      <c r="P63" s="24">
        <v>11918.3</v>
      </c>
      <c r="Q63" s="24">
        <v>22330.1</v>
      </c>
      <c r="R63" s="24">
        <v>20466.3</v>
      </c>
      <c r="S63" s="24">
        <v>21602.8</v>
      </c>
      <c r="T63" s="24">
        <v>22037.95</v>
      </c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3" ref="H64:H69">SUM(I64:T64)</f>
        <v>0</v>
      </c>
      <c r="I64" s="47"/>
      <c r="J64" s="47"/>
      <c r="K64" s="47"/>
      <c r="L64" s="47"/>
      <c r="M64" s="47"/>
      <c r="N64" s="27"/>
      <c r="O64" s="27"/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3"/>
        <v>23027.699999999997</v>
      </c>
      <c r="I65" s="47"/>
      <c r="J65" s="47"/>
      <c r="K65" s="47"/>
      <c r="L65" s="47">
        <f>7280.15</f>
        <v>7280.15</v>
      </c>
      <c r="M65" s="47">
        <v>5901.95</v>
      </c>
      <c r="N65" s="27">
        <v>1529.1</v>
      </c>
      <c r="O65" s="27">
        <v>16287.75</v>
      </c>
      <c r="P65" s="27"/>
      <c r="Q65" s="27"/>
      <c r="R65" s="27">
        <f>1563+1563</f>
        <v>3126</v>
      </c>
      <c r="S65" s="27"/>
      <c r="T65" s="27">
        <v>-11097.25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3"/>
        <v>2085.75</v>
      </c>
      <c r="I66" s="47"/>
      <c r="J66" s="47"/>
      <c r="K66" s="47"/>
      <c r="L66" s="47"/>
      <c r="M66" s="47"/>
      <c r="N66" s="27"/>
      <c r="O66" s="27"/>
      <c r="P66" s="27"/>
      <c r="Q66" s="27"/>
      <c r="R66" s="27">
        <v>2085.75</v>
      </c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3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3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3"/>
        <v>6727.5</v>
      </c>
      <c r="I69" s="47"/>
      <c r="J69" s="47"/>
      <c r="K69" s="47"/>
      <c r="L69" s="47"/>
      <c r="M69" s="47"/>
      <c r="N69" s="27"/>
      <c r="O69" s="27"/>
      <c r="P69" s="27">
        <v>6727.5</v>
      </c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86698.52799999999</v>
      </c>
      <c r="I72" s="24">
        <f aca="true" t="shared" si="24" ref="I72:P72">I62*33/100</f>
        <v>8209.773</v>
      </c>
      <c r="J72" s="24">
        <f t="shared" si="24"/>
        <v>7943.958</v>
      </c>
      <c r="K72" s="24">
        <f t="shared" si="24"/>
        <v>9113.544</v>
      </c>
      <c r="L72" s="24">
        <f t="shared" si="24"/>
        <v>8529.9555</v>
      </c>
      <c r="M72" s="24">
        <f t="shared" si="24"/>
        <v>9185.7315</v>
      </c>
      <c r="N72" s="24">
        <f t="shared" si="24"/>
        <v>6944.915999999998</v>
      </c>
      <c r="O72" s="24">
        <f t="shared" si="24"/>
        <v>11782.055999999999</v>
      </c>
      <c r="P72" s="24">
        <f t="shared" si="24"/>
        <v>6153.1140000000005</v>
      </c>
      <c r="Q72" s="24">
        <v>7370</v>
      </c>
      <c r="R72" s="24">
        <v>724.48</v>
      </c>
      <c r="S72" s="24">
        <v>7130</v>
      </c>
      <c r="T72" s="24">
        <v>3611</v>
      </c>
    </row>
    <row r="73" spans="5:20" ht="12.75">
      <c r="E73" s="28" t="s">
        <v>74</v>
      </c>
      <c r="F73" s="28"/>
      <c r="G73" s="28"/>
      <c r="H73" s="21">
        <f>SUM(I73:T73)</f>
        <v>3935.0384</v>
      </c>
      <c r="I73" s="24">
        <f aca="true" t="shared" si="25" ref="I73:P73">1.4*I62/100</f>
        <v>348.29339999999996</v>
      </c>
      <c r="J73" s="24">
        <f t="shared" si="25"/>
        <v>337.0164</v>
      </c>
      <c r="K73" s="24">
        <f t="shared" si="25"/>
        <v>386.63519999999994</v>
      </c>
      <c r="L73" s="24">
        <f t="shared" si="25"/>
        <v>361.8769</v>
      </c>
      <c r="M73" s="24">
        <f t="shared" si="25"/>
        <v>389.69769999999994</v>
      </c>
      <c r="N73" s="24">
        <f t="shared" si="25"/>
        <v>294.6328</v>
      </c>
      <c r="O73" s="24">
        <f t="shared" si="25"/>
        <v>499.84479999999996</v>
      </c>
      <c r="P73" s="24">
        <f t="shared" si="25"/>
        <v>261.0412</v>
      </c>
      <c r="Q73" s="24">
        <v>313</v>
      </c>
      <c r="R73" s="24">
        <v>288</v>
      </c>
      <c r="S73" s="24">
        <v>302</v>
      </c>
      <c r="T73" s="24">
        <v>153</v>
      </c>
    </row>
    <row r="74" spans="6:20" ht="12.75">
      <c r="F74" s="29"/>
      <c r="G74" s="29"/>
      <c r="H74" s="21">
        <f>SUM(I74:T74)</f>
        <v>376830.8164</v>
      </c>
      <c r="I74" s="24">
        <f aca="true" t="shared" si="26" ref="I74:T74">I62+I72+I73</f>
        <v>33436.1664</v>
      </c>
      <c r="J74" s="24">
        <f t="shared" si="26"/>
        <v>32353.574399999998</v>
      </c>
      <c r="K74" s="24">
        <f t="shared" si="26"/>
        <v>37116.979199999994</v>
      </c>
      <c r="L74" s="24">
        <f t="shared" si="26"/>
        <v>34740.182400000005</v>
      </c>
      <c r="M74" s="24">
        <f t="shared" si="26"/>
        <v>37410.979199999994</v>
      </c>
      <c r="N74" s="24">
        <f t="shared" si="26"/>
        <v>28284.748799999994</v>
      </c>
      <c r="O74" s="24">
        <f t="shared" si="26"/>
        <v>47985.10079999999</v>
      </c>
      <c r="P74" s="24">
        <f t="shared" si="26"/>
        <v>25059.9552</v>
      </c>
      <c r="Q74" s="24">
        <f t="shared" si="26"/>
        <v>30013.1</v>
      </c>
      <c r="R74" s="24">
        <f t="shared" si="26"/>
        <v>26690.53</v>
      </c>
      <c r="S74" s="24">
        <f t="shared" si="26"/>
        <v>29034.8</v>
      </c>
      <c r="T74" s="24">
        <f t="shared" si="26"/>
        <v>14704.7</v>
      </c>
    </row>
    <row r="75" spans="5:20" ht="12.75">
      <c r="E75" s="30" t="s">
        <v>75</v>
      </c>
      <c r="H75" s="21" t="s">
        <v>76</v>
      </c>
      <c r="I75" s="48">
        <v>16.5</v>
      </c>
      <c r="J75" s="48">
        <v>16.5</v>
      </c>
      <c r="K75" s="48">
        <v>16.5</v>
      </c>
      <c r="L75" s="48">
        <v>16.5</v>
      </c>
      <c r="M75" s="48"/>
      <c r="N75" s="31"/>
      <c r="O75" s="31"/>
      <c r="P75" s="31"/>
      <c r="Q75" s="31"/>
      <c r="R75" s="31"/>
      <c r="S75" s="31"/>
      <c r="T75" s="31"/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7" ref="H77:H84">SUM(I77:T77)</f>
        <v>121682</v>
      </c>
      <c r="I77" s="32">
        <v>7658</v>
      </c>
      <c r="J77" s="32">
        <v>7756</v>
      </c>
      <c r="K77" s="32">
        <v>10748</v>
      </c>
      <c r="L77" s="32">
        <v>9987</v>
      </c>
      <c r="M77" s="32">
        <v>10365</v>
      </c>
      <c r="N77" s="1">
        <v>10964</v>
      </c>
      <c r="O77" s="1">
        <v>8069</v>
      </c>
      <c r="P77" s="1">
        <v>9969</v>
      </c>
      <c r="Q77" s="1">
        <v>11575</v>
      </c>
      <c r="R77" s="1">
        <v>10860</v>
      </c>
      <c r="S77" s="1">
        <v>12327</v>
      </c>
      <c r="T77" s="1">
        <v>11404</v>
      </c>
    </row>
    <row r="78" spans="1:20" ht="12.75">
      <c r="A78" s="1"/>
      <c r="B78" s="1"/>
      <c r="C78" s="1"/>
      <c r="D78" s="1"/>
      <c r="E78" s="32" t="s">
        <v>78</v>
      </c>
      <c r="H78" s="7">
        <f t="shared" si="27"/>
        <v>2138898.4000000004</v>
      </c>
      <c r="I78" s="40">
        <v>133495.25</v>
      </c>
      <c r="J78" s="40">
        <v>136031.35</v>
      </c>
      <c r="K78" s="40">
        <v>190044.1</v>
      </c>
      <c r="L78" s="40">
        <f>L77*L75</f>
        <v>164785.5</v>
      </c>
      <c r="M78" s="40">
        <v>183182.3</v>
      </c>
      <c r="N78" s="4">
        <v>192669.1</v>
      </c>
      <c r="O78" s="4">
        <v>139548.7</v>
      </c>
      <c r="P78" s="4">
        <v>176780.8</v>
      </c>
      <c r="Q78" s="4">
        <v>205303.05</v>
      </c>
      <c r="R78" s="4">
        <v>193628.1</v>
      </c>
      <c r="S78" s="4">
        <v>220948.1</v>
      </c>
      <c r="T78" s="4">
        <v>202482.05</v>
      </c>
    </row>
    <row r="79" spans="1:20" ht="12.75">
      <c r="A79" s="1"/>
      <c r="B79" s="1"/>
      <c r="C79" s="1"/>
      <c r="D79" s="1"/>
      <c r="E79" s="32" t="s">
        <v>141</v>
      </c>
      <c r="H79" s="7">
        <f t="shared" si="27"/>
        <v>836</v>
      </c>
      <c r="I79" s="40">
        <v>68</v>
      </c>
      <c r="J79" s="40">
        <v>68</v>
      </c>
      <c r="K79" s="40">
        <v>68</v>
      </c>
      <c r="L79" s="40">
        <v>71</v>
      </c>
      <c r="M79" s="40">
        <v>70</v>
      </c>
      <c r="N79" s="4">
        <v>70</v>
      </c>
      <c r="O79" s="4">
        <v>70</v>
      </c>
      <c r="P79" s="4">
        <v>70</v>
      </c>
      <c r="Q79" s="4">
        <v>70</v>
      </c>
      <c r="R79" s="4">
        <v>70</v>
      </c>
      <c r="S79" s="4">
        <v>70</v>
      </c>
      <c r="T79" s="4">
        <v>71</v>
      </c>
    </row>
    <row r="80" spans="1:20" ht="12.75">
      <c r="A80" s="1"/>
      <c r="B80" s="1"/>
      <c r="C80" s="1"/>
      <c r="D80" s="1"/>
      <c r="E80" s="32" t="s">
        <v>142</v>
      </c>
      <c r="H80" s="7">
        <f t="shared" si="27"/>
        <v>61186.47999999999</v>
      </c>
      <c r="I80" s="40">
        <v>5067.8</v>
      </c>
      <c r="J80" s="40">
        <v>5067.8</v>
      </c>
      <c r="K80" s="40">
        <v>5067.8</v>
      </c>
      <c r="L80" s="40">
        <v>5110.18</v>
      </c>
      <c r="M80" s="40">
        <v>5101.7</v>
      </c>
      <c r="N80" s="4">
        <v>5101.7</v>
      </c>
      <c r="O80" s="4">
        <v>5101.7</v>
      </c>
      <c r="P80" s="4">
        <v>5101.7</v>
      </c>
      <c r="Q80" s="4">
        <v>5101.7</v>
      </c>
      <c r="R80" s="4">
        <v>5101.7</v>
      </c>
      <c r="S80" s="4">
        <v>5101.7</v>
      </c>
      <c r="T80" s="4">
        <v>5161</v>
      </c>
    </row>
    <row r="81" spans="1:20" ht="12.75">
      <c r="A81" s="1"/>
      <c r="B81" s="1"/>
      <c r="C81" s="1"/>
      <c r="D81" s="1"/>
      <c r="E81" s="32" t="s">
        <v>143</v>
      </c>
      <c r="H81" s="7">
        <f t="shared" si="27"/>
        <v>104</v>
      </c>
      <c r="I81" s="40">
        <v>0</v>
      </c>
      <c r="J81" s="40"/>
      <c r="K81" s="40">
        <v>26</v>
      </c>
      <c r="L81" s="40"/>
      <c r="M81" s="40"/>
      <c r="N81" s="4">
        <v>26</v>
      </c>
      <c r="O81" s="4"/>
      <c r="P81" s="4"/>
      <c r="Q81" s="4">
        <v>26</v>
      </c>
      <c r="R81" s="4"/>
      <c r="S81" s="4"/>
      <c r="T81" s="4">
        <v>26</v>
      </c>
    </row>
    <row r="82" spans="1:20" ht="12.75">
      <c r="A82" s="1"/>
      <c r="B82" s="1"/>
      <c r="C82" s="1"/>
      <c r="D82" s="1"/>
      <c r="E82" s="32" t="s">
        <v>144</v>
      </c>
      <c r="H82" s="7">
        <f t="shared" si="27"/>
        <v>5695.05</v>
      </c>
      <c r="I82" s="40">
        <v>0</v>
      </c>
      <c r="J82" s="40"/>
      <c r="K82" s="40">
        <v>1347.5</v>
      </c>
      <c r="L82" s="40"/>
      <c r="M82" s="40"/>
      <c r="N82" s="4">
        <v>1347.5</v>
      </c>
      <c r="O82" s="4"/>
      <c r="P82" s="4"/>
      <c r="Q82" s="4">
        <v>1500</v>
      </c>
      <c r="R82" s="4"/>
      <c r="S82" s="4"/>
      <c r="T82" s="4">
        <v>1500.05</v>
      </c>
    </row>
    <row r="83" spans="1:20" ht="12.75">
      <c r="A83" s="1"/>
      <c r="B83" s="1"/>
      <c r="C83" s="1"/>
      <c r="D83" s="1"/>
      <c r="E83" s="32" t="s">
        <v>275</v>
      </c>
      <c r="H83" s="7">
        <f t="shared" si="27"/>
        <v>32159.48</v>
      </c>
      <c r="I83" s="40"/>
      <c r="J83" s="40"/>
      <c r="K83" s="40"/>
      <c r="L83" s="40"/>
      <c r="M83" s="40"/>
      <c r="N83" s="4"/>
      <c r="O83" s="4"/>
      <c r="P83" s="4"/>
      <c r="Q83" s="4"/>
      <c r="R83" s="4"/>
      <c r="S83" s="4"/>
      <c r="T83" s="4">
        <v>32159.48</v>
      </c>
    </row>
    <row r="84" spans="1:20" ht="18">
      <c r="A84" s="1"/>
      <c r="B84" s="1"/>
      <c r="C84" s="1"/>
      <c r="D84" s="1"/>
      <c r="E84" s="33" t="s">
        <v>136</v>
      </c>
      <c r="F84" s="2"/>
      <c r="G84" s="2"/>
      <c r="H84" s="7">
        <f t="shared" si="27"/>
        <v>0</v>
      </c>
      <c r="I84" s="38"/>
      <c r="J84" s="38"/>
      <c r="K84" s="38"/>
      <c r="L84" s="38"/>
      <c r="M84" s="38"/>
      <c r="N84" s="13"/>
      <c r="O84" s="13"/>
      <c r="P84" s="13"/>
      <c r="Q84" s="13"/>
      <c r="R84" s="13"/>
      <c r="S84" s="13"/>
      <c r="T84" s="13"/>
    </row>
    <row r="85" spans="1:20" ht="12.75">
      <c r="A85" s="1"/>
      <c r="B85" s="1"/>
      <c r="C85" s="1"/>
      <c r="D85" s="1"/>
      <c r="E85" s="32" t="s">
        <v>80</v>
      </c>
      <c r="H85" s="7">
        <f aca="true" t="shared" si="28" ref="H85:H97">SUM(I85:T85)</f>
        <v>0</v>
      </c>
      <c r="I85" s="38"/>
      <c r="J85" s="38"/>
      <c r="K85" s="38"/>
      <c r="L85" s="38"/>
      <c r="M85" s="38"/>
      <c r="N85" s="13"/>
      <c r="O85" s="13"/>
      <c r="P85" s="13"/>
      <c r="Q85" s="13"/>
      <c r="R85" s="13"/>
      <c r="S85" s="13"/>
      <c r="T85" s="13"/>
    </row>
    <row r="86" spans="1:20" ht="12.75">
      <c r="A86" s="1"/>
      <c r="B86" s="1"/>
      <c r="C86" s="1"/>
      <c r="D86" s="1"/>
      <c r="E86" s="32" t="s">
        <v>81</v>
      </c>
      <c r="F86" s="22"/>
      <c r="G86" s="22"/>
      <c r="H86" s="7">
        <f t="shared" si="28"/>
        <v>0</v>
      </c>
      <c r="I86" s="40">
        <f>I84*I85</f>
        <v>0</v>
      </c>
      <c r="J86" s="40">
        <f>J84*J85</f>
        <v>0</v>
      </c>
      <c r="K86" s="40">
        <f>K84*K85</f>
        <v>0</v>
      </c>
      <c r="L86" s="40">
        <f>L84*L85</f>
        <v>0</v>
      </c>
      <c r="M86" s="40">
        <f aca="true" t="shared" si="29" ref="M86:T86">M84*M85</f>
        <v>0</v>
      </c>
      <c r="N86" s="4">
        <f t="shared" si="29"/>
        <v>0</v>
      </c>
      <c r="O86" s="4">
        <f t="shared" si="29"/>
        <v>0</v>
      </c>
      <c r="P86" s="4">
        <f t="shared" si="29"/>
        <v>0</v>
      </c>
      <c r="Q86" s="4">
        <f t="shared" si="29"/>
        <v>0</v>
      </c>
      <c r="R86" s="4">
        <f t="shared" si="29"/>
        <v>0</v>
      </c>
      <c r="S86" s="4">
        <f t="shared" si="29"/>
        <v>0</v>
      </c>
      <c r="T86" s="4">
        <f t="shared" si="29"/>
        <v>0</v>
      </c>
    </row>
    <row r="87" spans="1:20" ht="12.75">
      <c r="A87" s="1"/>
      <c r="B87" s="1"/>
      <c r="C87" s="1"/>
      <c r="D87" s="1"/>
      <c r="E87" s="33" t="s">
        <v>137</v>
      </c>
      <c r="F87" s="22"/>
      <c r="G87" s="22"/>
      <c r="H87" s="7">
        <f t="shared" si="28"/>
        <v>0</v>
      </c>
      <c r="I87" s="38"/>
      <c r="J87" s="38"/>
      <c r="K87" s="38"/>
      <c r="L87" s="38"/>
      <c r="M87" s="38"/>
      <c r="N87" s="13"/>
      <c r="O87" s="13"/>
      <c r="P87" s="13"/>
      <c r="Q87" s="13"/>
      <c r="R87" s="13"/>
      <c r="S87" s="13"/>
      <c r="T87" s="13"/>
    </row>
    <row r="88" spans="1:20" ht="12.75">
      <c r="A88" s="1"/>
      <c r="B88" s="1"/>
      <c r="C88" s="1"/>
      <c r="D88" s="1"/>
      <c r="E88" s="32" t="s">
        <v>101</v>
      </c>
      <c r="F88" s="26"/>
      <c r="G88" s="26"/>
      <c r="H88" s="7">
        <f t="shared" si="28"/>
        <v>0</v>
      </c>
      <c r="I88" s="32"/>
      <c r="J88" s="32"/>
      <c r="K88" s="32"/>
      <c r="L88" s="32"/>
      <c r="M88" s="32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32" t="s">
        <v>81</v>
      </c>
      <c r="F89" s="26"/>
      <c r="G89" s="26"/>
      <c r="H89" s="7">
        <f t="shared" si="28"/>
        <v>0</v>
      </c>
      <c r="I89" s="40">
        <f>I87*I88</f>
        <v>0</v>
      </c>
      <c r="J89" s="40">
        <f>J87*J88</f>
        <v>0</v>
      </c>
      <c r="K89" s="40">
        <f>K87*K88</f>
        <v>0</v>
      </c>
      <c r="L89" s="40">
        <f>L87*L88</f>
        <v>0</v>
      </c>
      <c r="M89" s="40">
        <f aca="true" t="shared" si="30" ref="M89:T89">M87*M88</f>
        <v>0</v>
      </c>
      <c r="N89" s="4">
        <f t="shared" si="30"/>
        <v>0</v>
      </c>
      <c r="O89" s="4">
        <f t="shared" si="30"/>
        <v>0</v>
      </c>
      <c r="P89" s="4">
        <f t="shared" si="30"/>
        <v>0</v>
      </c>
      <c r="Q89" s="4">
        <f t="shared" si="30"/>
        <v>0</v>
      </c>
      <c r="R89" s="4">
        <f t="shared" si="30"/>
        <v>0</v>
      </c>
      <c r="S89" s="4">
        <f t="shared" si="30"/>
        <v>0</v>
      </c>
      <c r="T89" s="4">
        <f t="shared" si="30"/>
        <v>0</v>
      </c>
    </row>
    <row r="90" spans="6:9" ht="12.75">
      <c r="F90" s="26"/>
      <c r="G90" s="26" t="s">
        <v>83</v>
      </c>
      <c r="H90" s="7">
        <f t="shared" si="28"/>
        <v>0</v>
      </c>
      <c r="I90" s="44"/>
    </row>
    <row r="91" spans="1:20" ht="18">
      <c r="A91" s="1"/>
      <c r="B91" s="1"/>
      <c r="C91" s="1"/>
      <c r="D91" s="1"/>
      <c r="E91" s="2"/>
      <c r="H91" s="3">
        <f t="shared" si="28"/>
        <v>0</v>
      </c>
      <c r="I91" s="40" t="s">
        <v>89</v>
      </c>
      <c r="J91" s="40" t="s">
        <v>90</v>
      </c>
      <c r="K91" s="40" t="s">
        <v>91</v>
      </c>
      <c r="L91" s="45" t="s">
        <v>92</v>
      </c>
      <c r="M91" s="40" t="s">
        <v>93</v>
      </c>
      <c r="N91" s="4" t="s">
        <v>94</v>
      </c>
      <c r="O91" s="4" t="s">
        <v>95</v>
      </c>
      <c r="P91" s="5" t="s">
        <v>96</v>
      </c>
      <c r="Q91" s="4" t="s">
        <v>97</v>
      </c>
      <c r="R91" s="4" t="s">
        <v>98</v>
      </c>
      <c r="S91" s="4" t="s">
        <v>99</v>
      </c>
      <c r="T91" s="5" t="s">
        <v>100</v>
      </c>
    </row>
    <row r="92" spans="5:20" ht="12.75">
      <c r="E92" s="18" t="s">
        <v>139</v>
      </c>
      <c r="H92" s="21">
        <f t="shared" si="28"/>
        <v>62710.688</v>
      </c>
      <c r="I92" s="44">
        <f>SUM(I93:I98)</f>
        <v>6042.25</v>
      </c>
      <c r="J92" s="44">
        <f>SUM(J93:J98)</f>
        <v>4697.780000000001</v>
      </c>
      <c r="K92" s="44">
        <f>SUM(K93:K98)</f>
        <v>5582.95</v>
      </c>
      <c r="L92" s="44">
        <f>SUM(L93:L98)</f>
        <v>9699.630000000001</v>
      </c>
      <c r="M92" s="44">
        <f aca="true" t="shared" si="31" ref="M92:T92">SUM(M93:M98)</f>
        <v>4303.638</v>
      </c>
      <c r="N92">
        <f t="shared" si="31"/>
        <v>5256.26</v>
      </c>
      <c r="O92">
        <f t="shared" si="31"/>
        <v>3562.82</v>
      </c>
      <c r="P92">
        <f t="shared" si="31"/>
        <v>3464.25</v>
      </c>
      <c r="Q92">
        <f t="shared" si="31"/>
        <v>7133.39</v>
      </c>
      <c r="R92">
        <f t="shared" si="31"/>
        <v>3608.3199999999997</v>
      </c>
      <c r="S92">
        <f t="shared" si="31"/>
        <v>4551.789999999999</v>
      </c>
      <c r="T92">
        <f t="shared" si="31"/>
        <v>4807.610000000001</v>
      </c>
    </row>
    <row r="93" spans="1:20" s="25" customFormat="1" ht="12.75">
      <c r="A93" s="22"/>
      <c r="B93" s="22"/>
      <c r="C93" s="22"/>
      <c r="D93" s="22"/>
      <c r="E93" s="22" t="s">
        <v>138</v>
      </c>
      <c r="F93" s="18"/>
      <c r="G93" s="18"/>
      <c r="H93" s="23">
        <f t="shared" si="28"/>
        <v>22213.138</v>
      </c>
      <c r="I93" s="49">
        <f>1110.22+1685.66</f>
        <v>2795.88</v>
      </c>
      <c r="J93" s="49">
        <f>1114.69+1691.98</f>
        <v>2806.67</v>
      </c>
      <c r="K93" s="49">
        <f>1119.2+1698.31</f>
        <v>2817.51</v>
      </c>
      <c r="L93" s="49">
        <v>921</v>
      </c>
      <c r="M93" s="49">
        <f>781.878+1711.04</f>
        <v>2492.918</v>
      </c>
      <c r="N93" s="25">
        <v>1342.92</v>
      </c>
      <c r="O93" s="25">
        <v>1342.72</v>
      </c>
      <c r="P93" s="25">
        <v>1342.55</v>
      </c>
      <c r="Q93" s="25">
        <v>1342.36</v>
      </c>
      <c r="R93" s="25">
        <v>1342.16</v>
      </c>
      <c r="S93" s="25">
        <v>1154.85</v>
      </c>
      <c r="T93" s="25">
        <f>1159.21+1352.39</f>
        <v>2511.6000000000004</v>
      </c>
    </row>
    <row r="94" spans="1:19" s="25" customFormat="1" ht="12.75">
      <c r="A94" s="22"/>
      <c r="B94" s="22"/>
      <c r="C94" s="22"/>
      <c r="D94" s="22"/>
      <c r="E94" s="22" t="s">
        <v>86</v>
      </c>
      <c r="F94" s="18"/>
      <c r="G94" s="18"/>
      <c r="H94" s="23">
        <f t="shared" si="28"/>
        <v>7538.1</v>
      </c>
      <c r="I94" s="49">
        <v>1125</v>
      </c>
      <c r="J94" s="49">
        <v>159</v>
      </c>
      <c r="K94" s="49"/>
      <c r="L94" s="49">
        <v>4000</v>
      </c>
      <c r="M94" s="49"/>
      <c r="N94" s="25">
        <f>1950</f>
        <v>1950</v>
      </c>
      <c r="O94" s="25">
        <v>0</v>
      </c>
      <c r="P94" s="25">
        <v>152</v>
      </c>
      <c r="R94" s="25">
        <v>0</v>
      </c>
      <c r="S94" s="25">
        <v>152.1</v>
      </c>
    </row>
    <row r="95" spans="1:20" s="25" customFormat="1" ht="12.75">
      <c r="A95" s="22"/>
      <c r="B95" s="22"/>
      <c r="C95" s="22"/>
      <c r="D95" s="22"/>
      <c r="E95" s="26" t="s">
        <v>107</v>
      </c>
      <c r="F95" s="18"/>
      <c r="G95" s="18"/>
      <c r="H95" s="23">
        <f t="shared" si="28"/>
        <v>8298.26</v>
      </c>
      <c r="I95" s="49"/>
      <c r="J95" s="49"/>
      <c r="K95" s="49"/>
      <c r="L95" s="49">
        <v>778.8</v>
      </c>
      <c r="M95" s="49"/>
      <c r="N95" s="25">
        <v>784.98</v>
      </c>
      <c r="O95" s="25">
        <v>788.09</v>
      </c>
      <c r="P95" s="25">
        <v>791.21</v>
      </c>
      <c r="Q95" s="25">
        <f>1092.53+1660.66</f>
        <v>2753.19</v>
      </c>
      <c r="R95" s="25">
        <v>797.5</v>
      </c>
      <c r="S95" s="25">
        <v>800.66</v>
      </c>
      <c r="T95" s="25">
        <v>803.83</v>
      </c>
    </row>
    <row r="96" spans="1:20" s="25" customFormat="1" ht="12.75">
      <c r="A96" s="22"/>
      <c r="B96" s="22"/>
      <c r="C96" s="22"/>
      <c r="D96" s="22"/>
      <c r="E96" s="26" t="s">
        <v>87</v>
      </c>
      <c r="F96" s="18"/>
      <c r="G96" s="18"/>
      <c r="H96" s="23">
        <f t="shared" si="28"/>
        <v>14741.869999999997</v>
      </c>
      <c r="I96" s="49">
        <v>1693.21</v>
      </c>
      <c r="J96" s="49">
        <f>473.1+840</f>
        <v>1313.1</v>
      </c>
      <c r="K96" s="49">
        <f>250.6+1292.54</f>
        <v>1543.1399999999999</v>
      </c>
      <c r="L96" s="49">
        <f>524.83+887.5</f>
        <v>1412.33</v>
      </c>
      <c r="M96" s="49">
        <f>538.22+895</f>
        <v>1433.22</v>
      </c>
      <c r="N96" s="25">
        <v>900.64</v>
      </c>
      <c r="O96" s="25">
        <v>1297.15</v>
      </c>
      <c r="P96" s="25">
        <v>1058.25</v>
      </c>
      <c r="Q96" s="25">
        <v>1370.01</v>
      </c>
      <c r="R96" s="25">
        <v>1046.62</v>
      </c>
      <c r="S96" s="25">
        <v>812.48</v>
      </c>
      <c r="T96" s="25">
        <v>861.72</v>
      </c>
    </row>
    <row r="97" spans="1:20" s="25" customFormat="1" ht="12.75">
      <c r="A97" s="22"/>
      <c r="B97" s="22"/>
      <c r="C97" s="22"/>
      <c r="D97" s="22"/>
      <c r="E97" s="26" t="s">
        <v>88</v>
      </c>
      <c r="F97" s="18"/>
      <c r="G97" s="18"/>
      <c r="H97" s="23">
        <f t="shared" si="28"/>
        <v>6332.240000000001</v>
      </c>
      <c r="I97" s="49"/>
      <c r="J97" s="49"/>
      <c r="K97" s="49">
        <f>633.24+29.25+150</f>
        <v>812.49</v>
      </c>
      <c r="L97" s="49">
        <f>1.75+90+2045.59</f>
        <v>2137.34</v>
      </c>
      <c r="M97" s="49">
        <f>37.5+340</f>
        <v>377.5</v>
      </c>
      <c r="N97" s="25">
        <v>164.75</v>
      </c>
      <c r="O97" s="25">
        <v>25</v>
      </c>
      <c r="P97" s="25">
        <v>13.5</v>
      </c>
      <c r="Q97" s="25">
        <v>1136.51</v>
      </c>
      <c r="R97" s="25">
        <v>130</v>
      </c>
      <c r="S97" s="25">
        <v>1341.97</v>
      </c>
      <c r="T97" s="25">
        <v>193.18</v>
      </c>
    </row>
    <row r="98" spans="5:20" ht="12.75">
      <c r="E98" s="26" t="s">
        <v>140</v>
      </c>
      <c r="I98" s="44">
        <f>77.19+350.97</f>
        <v>428.16</v>
      </c>
      <c r="J98" s="44">
        <f>74.63+344.38</f>
        <v>419.01</v>
      </c>
      <c r="K98" s="44">
        <f>72.05+337.76</f>
        <v>409.81</v>
      </c>
      <c r="L98" s="44">
        <f>119.16+331</f>
        <v>450.15999999999997</v>
      </c>
      <c r="N98">
        <v>112.97</v>
      </c>
      <c r="O98">
        <v>109.86</v>
      </c>
      <c r="P98">
        <v>106.74</v>
      </c>
      <c r="Q98">
        <f>105.62+425.7</f>
        <v>531.3199999999999</v>
      </c>
      <c r="R98">
        <f>100.46+191.58</f>
        <v>292.04</v>
      </c>
      <c r="S98">
        <f>102.64+187.09</f>
        <v>289.73</v>
      </c>
      <c r="T98">
        <f>79.74+357.54</f>
        <v>437.28000000000003</v>
      </c>
    </row>
    <row r="99" spans="5:13" ht="12.75">
      <c r="E99" s="26" t="s">
        <v>145</v>
      </c>
      <c r="I99" s="44"/>
      <c r="M99" s="49">
        <f>1640.82+152+298.33</f>
        <v>2091.15</v>
      </c>
    </row>
    <row r="100" ht="12.75">
      <c r="I100" s="44"/>
    </row>
    <row r="101" spans="5:20" ht="15">
      <c r="E101" s="94" t="s">
        <v>146</v>
      </c>
      <c r="F101" s="18">
        <v>661132.68</v>
      </c>
      <c r="G101" s="18">
        <v>661132.65</v>
      </c>
      <c r="H101" s="23">
        <f>SUM(I101:T101)</f>
        <v>496213.73</v>
      </c>
      <c r="I101" s="44">
        <v>39721.51</v>
      </c>
      <c r="J101" s="44">
        <v>70467.28</v>
      </c>
      <c r="K101" s="44">
        <v>55094.39</v>
      </c>
      <c r="L101" s="44">
        <v>55094.39</v>
      </c>
      <c r="M101" s="44">
        <v>55094.39</v>
      </c>
      <c r="N101">
        <v>34033.34</v>
      </c>
      <c r="O101">
        <v>30897.6</v>
      </c>
      <c r="P101">
        <v>30963.55</v>
      </c>
      <c r="Q101">
        <v>31191.78</v>
      </c>
      <c r="R101">
        <v>31098.95</v>
      </c>
      <c r="S101">
        <v>31322.81</v>
      </c>
      <c r="T101">
        <v>31233.74</v>
      </c>
    </row>
    <row r="102" spans="5:20" ht="15">
      <c r="E102" s="94" t="s">
        <v>257</v>
      </c>
      <c r="F102" s="18">
        <v>207702.72</v>
      </c>
      <c r="G102" s="18">
        <v>88010.77</v>
      </c>
      <c r="H102" s="23">
        <f>SUM(I102:T102)</f>
        <v>51263.2</v>
      </c>
      <c r="I102" s="44">
        <v>3911.32</v>
      </c>
      <c r="J102" s="44">
        <v>3479.83</v>
      </c>
      <c r="K102" s="44">
        <v>3474.03</v>
      </c>
      <c r="L102" s="44">
        <v>3291.44</v>
      </c>
      <c r="M102" s="44">
        <v>3328.27</v>
      </c>
      <c r="N102" s="44">
        <v>3913.45</v>
      </c>
      <c r="O102" s="44">
        <v>5162.27</v>
      </c>
      <c r="P102" s="44">
        <v>5096.31</v>
      </c>
      <c r="Q102" s="44">
        <v>4868.08</v>
      </c>
      <c r="R102" s="44">
        <v>4960.92</v>
      </c>
      <c r="S102" s="44">
        <v>4737.06</v>
      </c>
      <c r="T102" s="44">
        <v>5040.22</v>
      </c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  <row r="168" ht="12.75">
      <c r="I168" s="44"/>
    </row>
    <row r="169" ht="12.75">
      <c r="I169" s="44"/>
    </row>
    <row r="170" ht="12.75">
      <c r="I170" s="44"/>
    </row>
    <row r="171" ht="12.75">
      <c r="I171" s="44"/>
    </row>
    <row r="172" ht="12.75">
      <c r="I172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3"/>
  <headerFooter alignWithMargins="0">
    <oddHeader xml:space="preserve">&amp;C&amp;F  &amp;D
&amp;RKuusalu+ Kiiu  heitvesi &amp;A </oddHeader>
    <oddFooter>&amp;C&amp;F  &amp;D&amp;RKuusalu ja Kiiu heitvesi teg nr  &amp;A</oddFooter>
  </headerFooter>
  <rowBreaks count="1" manualBreakCount="1">
    <brk id="6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pane xSplit="8" ySplit="2" topLeftCell="Q41" activePane="bottomRight" state="frozen"/>
      <selection pane="topLeft" activeCell="R59" sqref="R59"/>
      <selection pane="topRight" activeCell="R59" sqref="R59"/>
      <selection pane="bottomLeft" activeCell="R59" sqref="R59"/>
      <selection pane="bottomRight" activeCell="T43" sqref="T43"/>
    </sheetView>
  </sheetViews>
  <sheetFormatPr defaultColWidth="9.140625" defaultRowHeight="12.75"/>
  <cols>
    <col min="1" max="4" width="2.00390625" style="18" customWidth="1"/>
    <col min="5" max="5" width="46.8515625" style="18" bestFit="1" customWidth="1"/>
    <col min="6" max="7" width="14.8515625" style="18" customWidth="1"/>
    <col min="8" max="8" width="13.421875" style="21" customWidth="1"/>
    <col min="9" max="9" width="12.8515625" style="51" bestFit="1" customWidth="1"/>
    <col min="10" max="10" width="12.28125" style="44" bestFit="1" customWidth="1"/>
    <col min="11" max="11" width="12.7109375" style="44" bestFit="1" customWidth="1"/>
    <col min="12" max="12" width="12.28125" style="44" bestFit="1" customWidth="1"/>
    <col min="13" max="13" width="10.7109375" style="44" bestFit="1" customWidth="1"/>
    <col min="14" max="17" width="10.7109375" style="0" bestFit="1" customWidth="1"/>
    <col min="18" max="18" width="11.7109375" style="0" bestFit="1" customWidth="1"/>
    <col min="19" max="20" width="10.7109375" style="0" bestFit="1" customWidth="1"/>
  </cols>
  <sheetData>
    <row r="1" spans="1:20" s="36" customFormat="1" ht="12.75">
      <c r="A1" s="34"/>
      <c r="B1" s="34"/>
      <c r="C1" s="34"/>
      <c r="D1" s="34"/>
      <c r="E1" s="34"/>
      <c r="F1" s="34"/>
      <c r="G1" s="34"/>
      <c r="H1" s="35"/>
      <c r="I1" s="50">
        <v>2010</v>
      </c>
      <c r="J1" s="39">
        <v>2010</v>
      </c>
      <c r="K1" s="39">
        <v>2010</v>
      </c>
      <c r="L1" s="39">
        <v>2010</v>
      </c>
      <c r="M1" s="39">
        <v>2010</v>
      </c>
      <c r="N1" s="36">
        <v>2010</v>
      </c>
      <c r="O1" s="36">
        <v>2010</v>
      </c>
      <c r="P1" s="36">
        <v>2010</v>
      </c>
      <c r="Q1" s="36">
        <v>2010</v>
      </c>
      <c r="R1" s="36">
        <v>2010</v>
      </c>
      <c r="S1" s="36">
        <v>2010</v>
      </c>
      <c r="T1" s="36">
        <v>2010</v>
      </c>
    </row>
    <row r="2" spans="1:20" s="54" customFormat="1" ht="26.25">
      <c r="A2" s="52"/>
      <c r="B2" s="52"/>
      <c r="C2" s="52"/>
      <c r="D2" s="52"/>
      <c r="E2" s="53"/>
      <c r="F2" s="3" t="s">
        <v>0</v>
      </c>
      <c r="G2" s="3" t="s">
        <v>1</v>
      </c>
      <c r="H2" s="3" t="s">
        <v>266</v>
      </c>
      <c r="I2" s="45" t="s">
        <v>89</v>
      </c>
      <c r="J2" s="45" t="s">
        <v>90</v>
      </c>
      <c r="K2" s="45" t="s">
        <v>91</v>
      </c>
      <c r="L2" s="45" t="s">
        <v>92</v>
      </c>
      <c r="M2" s="45" t="s">
        <v>93</v>
      </c>
      <c r="N2" s="5" t="s">
        <v>246</v>
      </c>
      <c r="O2" s="5" t="s">
        <v>247</v>
      </c>
      <c r="P2" s="5" t="s">
        <v>248</v>
      </c>
      <c r="Q2" s="5" t="s">
        <v>97</v>
      </c>
      <c r="R2" s="5" t="s">
        <v>98</v>
      </c>
      <c r="S2" s="5" t="s">
        <v>99</v>
      </c>
      <c r="T2" s="5" t="s">
        <v>100</v>
      </c>
    </row>
    <row r="3" spans="1:20" ht="12.75">
      <c r="A3" s="6" t="s">
        <v>3</v>
      </c>
      <c r="B3" s="6" t="s">
        <v>4</v>
      </c>
      <c r="C3" s="6" t="s">
        <v>4</v>
      </c>
      <c r="D3" s="6" t="s">
        <v>4</v>
      </c>
      <c r="E3" s="6" t="s">
        <v>5</v>
      </c>
      <c r="F3" s="4">
        <f>F4+F8+F12</f>
        <v>293518.17</v>
      </c>
      <c r="G3" s="4">
        <f>G4+G8+G12</f>
        <v>379586.95</v>
      </c>
      <c r="H3" s="7">
        <f>SUM(I3:T3)</f>
        <v>405983.58999999997</v>
      </c>
      <c r="I3" s="40">
        <f>I4+I8+I12</f>
        <v>34329.7</v>
      </c>
      <c r="J3" s="40">
        <f>J4+J8+J12</f>
        <v>32670.6</v>
      </c>
      <c r="K3" s="40">
        <f>K4+K8+K12</f>
        <v>34596.8</v>
      </c>
      <c r="L3" s="40">
        <f>L4+L8+L12</f>
        <v>34730.1</v>
      </c>
      <c r="M3" s="40">
        <f aca="true" t="shared" si="0" ref="M3:T3">M4+M8+M12</f>
        <v>38065.45</v>
      </c>
      <c r="N3" s="4">
        <f t="shared" si="0"/>
        <v>32229.95</v>
      </c>
      <c r="O3" s="4">
        <f t="shared" si="0"/>
        <v>33746.95</v>
      </c>
      <c r="P3" s="4">
        <f t="shared" si="0"/>
        <v>32728.100000000002</v>
      </c>
      <c r="Q3" s="4">
        <f t="shared" si="0"/>
        <v>34861.65</v>
      </c>
      <c r="R3" s="4">
        <f t="shared" si="0"/>
        <v>32687.600000000002</v>
      </c>
      <c r="S3" s="4">
        <f t="shared" si="0"/>
        <v>32115.3</v>
      </c>
      <c r="T3" s="4">
        <f t="shared" si="0"/>
        <v>33221.39</v>
      </c>
    </row>
    <row r="4" spans="1:20" ht="12.75">
      <c r="A4" s="6" t="s">
        <v>3</v>
      </c>
      <c r="B4" s="6" t="s">
        <v>6</v>
      </c>
      <c r="C4" s="6" t="s">
        <v>4</v>
      </c>
      <c r="D4" s="6" t="s">
        <v>4</v>
      </c>
      <c r="E4" s="6" t="s">
        <v>7</v>
      </c>
      <c r="F4" s="4">
        <f>F5</f>
        <v>292306.17</v>
      </c>
      <c r="G4" s="4">
        <f>G5</f>
        <v>322406.95</v>
      </c>
      <c r="H4" s="7">
        <f aca="true" t="shared" si="1" ref="H4:H60">SUM(I4:T4)</f>
        <v>308027.5900000001</v>
      </c>
      <c r="I4" s="40">
        <f>I5</f>
        <v>26166.7</v>
      </c>
      <c r="J4" s="40">
        <f>J5</f>
        <v>24507.6</v>
      </c>
      <c r="K4" s="40">
        <f>K5</f>
        <v>26433.8</v>
      </c>
      <c r="L4" s="40">
        <f>L5</f>
        <v>26567.1</v>
      </c>
      <c r="M4" s="40">
        <f aca="true" t="shared" si="2" ref="M4:T4">M5</f>
        <v>29902.45</v>
      </c>
      <c r="N4" s="4">
        <f t="shared" si="2"/>
        <v>24066.95</v>
      </c>
      <c r="O4" s="4">
        <f t="shared" si="2"/>
        <v>25583.95</v>
      </c>
      <c r="P4" s="4">
        <f t="shared" si="2"/>
        <v>24565.100000000002</v>
      </c>
      <c r="Q4" s="4">
        <f t="shared" si="2"/>
        <v>26698.65</v>
      </c>
      <c r="R4" s="4">
        <f t="shared" si="2"/>
        <v>24524.600000000002</v>
      </c>
      <c r="S4" s="4">
        <f t="shared" si="2"/>
        <v>23952.3</v>
      </c>
      <c r="T4" s="4">
        <f t="shared" si="2"/>
        <v>25058.39</v>
      </c>
    </row>
    <row r="5" spans="1:20" ht="12.75">
      <c r="A5" s="6" t="s">
        <v>3</v>
      </c>
      <c r="B5" s="6" t="s">
        <v>6</v>
      </c>
      <c r="C5" s="6" t="s">
        <v>6</v>
      </c>
      <c r="D5" s="6" t="s">
        <v>4</v>
      </c>
      <c r="E5" s="6" t="s">
        <v>8</v>
      </c>
      <c r="F5" s="4">
        <f>F7</f>
        <v>292306.17</v>
      </c>
      <c r="G5" s="4">
        <f>G7</f>
        <v>322406.95</v>
      </c>
      <c r="H5" s="7">
        <f t="shared" si="1"/>
        <v>308027.5900000001</v>
      </c>
      <c r="I5" s="40">
        <f>I7</f>
        <v>26166.7</v>
      </c>
      <c r="J5" s="40">
        <f>J7</f>
        <v>24507.6</v>
      </c>
      <c r="K5" s="40">
        <f>K7</f>
        <v>26433.8</v>
      </c>
      <c r="L5" s="40">
        <f>L7</f>
        <v>26567.1</v>
      </c>
      <c r="M5" s="40">
        <f aca="true" t="shared" si="3" ref="M5:T5">M7</f>
        <v>29902.45</v>
      </c>
      <c r="N5" s="4">
        <f t="shared" si="3"/>
        <v>24066.95</v>
      </c>
      <c r="O5" s="4">
        <f t="shared" si="3"/>
        <v>25583.95</v>
      </c>
      <c r="P5" s="4">
        <f t="shared" si="3"/>
        <v>24565.100000000002</v>
      </c>
      <c r="Q5" s="4">
        <f t="shared" si="3"/>
        <v>26698.65</v>
      </c>
      <c r="R5" s="4">
        <f t="shared" si="3"/>
        <v>24524.600000000002</v>
      </c>
      <c r="S5" s="4">
        <f t="shared" si="3"/>
        <v>23952.3</v>
      </c>
      <c r="T5" s="4">
        <f t="shared" si="3"/>
        <v>25058.39</v>
      </c>
    </row>
    <row r="6" spans="1:20" s="11" customFormat="1" ht="11.25">
      <c r="A6" s="8"/>
      <c r="B6" s="8"/>
      <c r="C6" s="8"/>
      <c r="D6" s="8"/>
      <c r="E6" s="8" t="s">
        <v>9</v>
      </c>
      <c r="F6" s="9">
        <v>18776.5</v>
      </c>
      <c r="G6" s="9">
        <v>17137.2</v>
      </c>
      <c r="H6" s="10">
        <f t="shared" si="1"/>
        <v>15588.32</v>
      </c>
      <c r="I6" s="41">
        <f aca="true" t="shared" si="4" ref="I6:T6">I77</f>
        <v>1300</v>
      </c>
      <c r="J6" s="41">
        <f t="shared" si="4"/>
        <v>1213</v>
      </c>
      <c r="K6" s="41">
        <f t="shared" si="4"/>
        <v>1310</v>
      </c>
      <c r="L6" s="41">
        <f t="shared" si="4"/>
        <v>1321</v>
      </c>
      <c r="M6" s="41">
        <f t="shared" si="4"/>
        <v>1523</v>
      </c>
      <c r="N6" s="9">
        <f t="shared" si="4"/>
        <v>1247</v>
      </c>
      <c r="O6" s="9">
        <f t="shared" si="4"/>
        <v>1429.45</v>
      </c>
      <c r="P6" s="9">
        <f t="shared" si="4"/>
        <v>1276.87</v>
      </c>
      <c r="Q6" s="9">
        <f t="shared" si="4"/>
        <v>1333</v>
      </c>
      <c r="R6" s="9">
        <f t="shared" si="4"/>
        <v>1215</v>
      </c>
      <c r="S6" s="9">
        <f t="shared" si="4"/>
        <v>1183</v>
      </c>
      <c r="T6" s="9">
        <f t="shared" si="4"/>
        <v>1237</v>
      </c>
    </row>
    <row r="7" spans="1:20" ht="12.75">
      <c r="A7" s="12" t="s">
        <v>3</v>
      </c>
      <c r="B7" s="12" t="s">
        <v>6</v>
      </c>
      <c r="C7" s="12" t="s">
        <v>6</v>
      </c>
      <c r="D7" s="12" t="s">
        <v>10</v>
      </c>
      <c r="E7" s="12" t="s">
        <v>11</v>
      </c>
      <c r="F7" s="13">
        <v>292306.17</v>
      </c>
      <c r="G7" s="13">
        <v>322406.95</v>
      </c>
      <c r="H7" s="10">
        <f t="shared" si="1"/>
        <v>308027.5900000001</v>
      </c>
      <c r="I7" s="38">
        <v>26166.7</v>
      </c>
      <c r="J7" s="38">
        <v>24507.6</v>
      </c>
      <c r="K7" s="38">
        <v>26433.8</v>
      </c>
      <c r="L7" s="38">
        <v>26567.1</v>
      </c>
      <c r="M7" s="38">
        <v>29902.45</v>
      </c>
      <c r="N7" s="13">
        <f aca="true" t="shared" si="5" ref="N7:T7">N78+N80+N82</f>
        <v>24066.95</v>
      </c>
      <c r="O7" s="13">
        <f t="shared" si="5"/>
        <v>25583.95</v>
      </c>
      <c r="P7" s="13">
        <f t="shared" si="5"/>
        <v>24565.100000000002</v>
      </c>
      <c r="Q7" s="13">
        <f t="shared" si="5"/>
        <v>26698.65</v>
      </c>
      <c r="R7" s="13">
        <f t="shared" si="5"/>
        <v>24524.600000000002</v>
      </c>
      <c r="S7" s="13">
        <v>23952.3</v>
      </c>
      <c r="T7" s="13">
        <f t="shared" si="5"/>
        <v>25058.39</v>
      </c>
    </row>
    <row r="8" spans="1:20" ht="12.75">
      <c r="A8" s="6" t="s">
        <v>3</v>
      </c>
      <c r="B8" s="6" t="s">
        <v>10</v>
      </c>
      <c r="C8" s="6" t="s">
        <v>4</v>
      </c>
      <c r="D8" s="6" t="s">
        <v>4</v>
      </c>
      <c r="E8" s="6" t="s">
        <v>12</v>
      </c>
      <c r="F8" s="4">
        <f>F9+F11</f>
        <v>1212</v>
      </c>
      <c r="G8" s="4">
        <f>G9+G11</f>
        <v>57180</v>
      </c>
      <c r="H8" s="7">
        <f t="shared" si="1"/>
        <v>97956</v>
      </c>
      <c r="I8" s="40">
        <f>I9+I11</f>
        <v>8163</v>
      </c>
      <c r="J8" s="40">
        <f>J9+J11</f>
        <v>8163</v>
      </c>
      <c r="K8" s="40">
        <f>K9+K11</f>
        <v>8163</v>
      </c>
      <c r="L8" s="40">
        <f>L9+L11</f>
        <v>8163</v>
      </c>
      <c r="M8" s="40">
        <f aca="true" t="shared" si="6" ref="M8:T8">M9+M11</f>
        <v>8163</v>
      </c>
      <c r="N8" s="4">
        <f t="shared" si="6"/>
        <v>8163</v>
      </c>
      <c r="O8" s="4">
        <f t="shared" si="6"/>
        <v>8163</v>
      </c>
      <c r="P8" s="4">
        <f t="shared" si="6"/>
        <v>8163</v>
      </c>
      <c r="Q8" s="4">
        <f t="shared" si="6"/>
        <v>8163</v>
      </c>
      <c r="R8" s="4">
        <f t="shared" si="6"/>
        <v>8163</v>
      </c>
      <c r="S8" s="4">
        <f t="shared" si="6"/>
        <v>8163</v>
      </c>
      <c r="T8" s="4">
        <f t="shared" si="6"/>
        <v>8163</v>
      </c>
    </row>
    <row r="9" spans="1:20" ht="12.75">
      <c r="A9" s="6" t="s">
        <v>3</v>
      </c>
      <c r="B9" s="6" t="s">
        <v>10</v>
      </c>
      <c r="C9" s="6" t="s">
        <v>13</v>
      </c>
      <c r="D9" s="6" t="s">
        <v>4</v>
      </c>
      <c r="E9" s="6" t="s">
        <v>14</v>
      </c>
      <c r="F9" s="4">
        <f>F10</f>
        <v>1212</v>
      </c>
      <c r="G9" s="4">
        <f>G10</f>
        <v>1212</v>
      </c>
      <c r="H9" s="7">
        <f t="shared" si="1"/>
        <v>0</v>
      </c>
      <c r="I9" s="40">
        <f>I10</f>
        <v>0</v>
      </c>
      <c r="J9" s="40">
        <f>J10</f>
        <v>0</v>
      </c>
      <c r="K9" s="40">
        <f>K10</f>
        <v>0</v>
      </c>
      <c r="L9" s="40">
        <f>L10</f>
        <v>0</v>
      </c>
      <c r="M9" s="40">
        <f aca="true" t="shared" si="7" ref="M9:T9">M10</f>
        <v>0</v>
      </c>
      <c r="N9" s="4">
        <f t="shared" si="7"/>
        <v>0</v>
      </c>
      <c r="O9" s="4">
        <f t="shared" si="7"/>
        <v>0</v>
      </c>
      <c r="P9" s="4">
        <f t="shared" si="7"/>
        <v>0</v>
      </c>
      <c r="Q9" s="4">
        <f t="shared" si="7"/>
        <v>0</v>
      </c>
      <c r="R9" s="4">
        <f t="shared" si="7"/>
        <v>0</v>
      </c>
      <c r="S9" s="4">
        <f t="shared" si="7"/>
        <v>0</v>
      </c>
      <c r="T9" s="4">
        <f t="shared" si="7"/>
        <v>0</v>
      </c>
    </row>
    <row r="10" spans="1:20" ht="12.75">
      <c r="A10" s="12" t="s">
        <v>3</v>
      </c>
      <c r="B10" s="12" t="s">
        <v>10</v>
      </c>
      <c r="C10" s="12" t="s">
        <v>13</v>
      </c>
      <c r="D10" s="12" t="s">
        <v>13</v>
      </c>
      <c r="E10" s="12" t="s">
        <v>15</v>
      </c>
      <c r="F10" s="13">
        <v>1212</v>
      </c>
      <c r="G10" s="13">
        <v>1212</v>
      </c>
      <c r="H10" s="10">
        <f t="shared" si="1"/>
        <v>0</v>
      </c>
      <c r="I10" s="38"/>
      <c r="J10" s="38"/>
      <c r="K10" s="38"/>
      <c r="L10" s="38"/>
      <c r="M10" s="38"/>
      <c r="N10" s="13"/>
      <c r="O10" s="13"/>
      <c r="P10" s="13"/>
      <c r="Q10" s="13"/>
      <c r="R10" s="13"/>
      <c r="S10" s="13"/>
      <c r="T10" s="13"/>
    </row>
    <row r="11" spans="1:20" ht="12.75">
      <c r="A11" s="6" t="s">
        <v>3</v>
      </c>
      <c r="B11" s="6" t="s">
        <v>10</v>
      </c>
      <c r="C11" s="6" t="s">
        <v>16</v>
      </c>
      <c r="D11" s="6" t="s">
        <v>4</v>
      </c>
      <c r="E11" s="6" t="s">
        <v>17</v>
      </c>
      <c r="F11" s="4">
        <v>0</v>
      </c>
      <c r="G11" s="4">
        <v>55968</v>
      </c>
      <c r="H11" s="7">
        <f t="shared" si="1"/>
        <v>97956</v>
      </c>
      <c r="I11" s="40">
        <v>8163</v>
      </c>
      <c r="J11" s="40">
        <v>8163</v>
      </c>
      <c r="K11" s="40">
        <v>8163</v>
      </c>
      <c r="L11" s="40">
        <v>8163</v>
      </c>
      <c r="M11" s="40">
        <v>8163</v>
      </c>
      <c r="N11" s="4">
        <v>8163</v>
      </c>
      <c r="O11" s="4">
        <v>8163</v>
      </c>
      <c r="P11" s="4">
        <v>8163</v>
      </c>
      <c r="Q11" s="4">
        <v>8163</v>
      </c>
      <c r="R11" s="4">
        <v>8163</v>
      </c>
      <c r="S11" s="4">
        <v>8163</v>
      </c>
      <c r="T11" s="4">
        <v>8163</v>
      </c>
    </row>
    <row r="12" spans="1:20" ht="12.75">
      <c r="A12" s="6" t="s">
        <v>3</v>
      </c>
      <c r="B12" s="6" t="s">
        <v>18</v>
      </c>
      <c r="C12" s="6" t="s">
        <v>4</v>
      </c>
      <c r="D12" s="6" t="s">
        <v>4</v>
      </c>
      <c r="E12" s="6" t="s">
        <v>19</v>
      </c>
      <c r="F12" s="4">
        <f>F13</f>
        <v>0</v>
      </c>
      <c r="G12" s="4">
        <f>G13</f>
        <v>0</v>
      </c>
      <c r="H12" s="7">
        <f t="shared" si="1"/>
        <v>0</v>
      </c>
      <c r="I12" s="40">
        <f aca="true" t="shared" si="8" ref="I12:T13">I13</f>
        <v>0</v>
      </c>
      <c r="J12" s="40">
        <f t="shared" si="8"/>
        <v>0</v>
      </c>
      <c r="K12" s="40">
        <f t="shared" si="8"/>
        <v>0</v>
      </c>
      <c r="L12" s="40">
        <f t="shared" si="8"/>
        <v>0</v>
      </c>
      <c r="M12" s="40">
        <f t="shared" si="8"/>
        <v>0</v>
      </c>
      <c r="N12" s="4">
        <f t="shared" si="8"/>
        <v>0</v>
      </c>
      <c r="O12" s="4">
        <f t="shared" si="8"/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 t="shared" si="8"/>
        <v>0</v>
      </c>
    </row>
    <row r="13" spans="1:20" ht="12.75">
      <c r="A13" s="6" t="s">
        <v>3</v>
      </c>
      <c r="B13" s="6" t="s">
        <v>18</v>
      </c>
      <c r="C13" s="6" t="s">
        <v>16</v>
      </c>
      <c r="D13" s="6" t="s">
        <v>4</v>
      </c>
      <c r="E13" s="6" t="s">
        <v>20</v>
      </c>
      <c r="F13" s="4">
        <f>F14</f>
        <v>0</v>
      </c>
      <c r="G13" s="4">
        <f>G14</f>
        <v>0</v>
      </c>
      <c r="H13" s="7">
        <f t="shared" si="1"/>
        <v>0</v>
      </c>
      <c r="I13" s="40">
        <f t="shared" si="8"/>
        <v>0</v>
      </c>
      <c r="J13" s="40">
        <f t="shared" si="8"/>
        <v>0</v>
      </c>
      <c r="K13" s="40">
        <f t="shared" si="8"/>
        <v>0</v>
      </c>
      <c r="L13" s="40">
        <f t="shared" si="8"/>
        <v>0</v>
      </c>
      <c r="M13" s="40">
        <f t="shared" si="8"/>
        <v>0</v>
      </c>
      <c r="N13" s="4">
        <f t="shared" si="8"/>
        <v>0</v>
      </c>
      <c r="O13" s="4">
        <f t="shared" si="8"/>
        <v>0</v>
      </c>
      <c r="P13" s="4">
        <f t="shared" si="8"/>
        <v>0</v>
      </c>
      <c r="Q13" s="4">
        <f t="shared" si="8"/>
        <v>0</v>
      </c>
      <c r="R13" s="4">
        <f t="shared" si="8"/>
        <v>0</v>
      </c>
      <c r="S13" s="4">
        <f t="shared" si="8"/>
        <v>0</v>
      </c>
      <c r="T13" s="4">
        <f t="shared" si="8"/>
        <v>0</v>
      </c>
    </row>
    <row r="14" spans="1:20" ht="12.75">
      <c r="A14" s="12" t="s">
        <v>3</v>
      </c>
      <c r="B14" s="12" t="s">
        <v>18</v>
      </c>
      <c r="C14" s="12" t="s">
        <v>16</v>
      </c>
      <c r="D14" s="12" t="s">
        <v>16</v>
      </c>
      <c r="E14" s="12" t="s">
        <v>21</v>
      </c>
      <c r="F14" s="13">
        <v>0</v>
      </c>
      <c r="G14" s="13"/>
      <c r="H14" s="10">
        <f t="shared" si="1"/>
        <v>0</v>
      </c>
      <c r="I14" s="38"/>
      <c r="J14" s="38"/>
      <c r="K14" s="38"/>
      <c r="L14" s="38"/>
      <c r="M14" s="38"/>
      <c r="N14" s="13"/>
      <c r="O14" s="13"/>
      <c r="P14" s="13"/>
      <c r="Q14" s="13"/>
      <c r="R14" s="13"/>
      <c r="S14" s="13"/>
      <c r="T14" s="13"/>
    </row>
    <row r="15" spans="1:20" ht="12.75">
      <c r="A15" s="6" t="s">
        <v>22</v>
      </c>
      <c r="B15" s="6" t="s">
        <v>4</v>
      </c>
      <c r="C15" s="6" t="s">
        <v>4</v>
      </c>
      <c r="D15" s="6" t="s">
        <v>4</v>
      </c>
      <c r="E15" s="6" t="s">
        <v>23</v>
      </c>
      <c r="F15" s="4">
        <f>F16</f>
        <v>0</v>
      </c>
      <c r="G15" s="4">
        <f>G16</f>
        <v>0</v>
      </c>
      <c r="H15" s="7">
        <f t="shared" si="1"/>
        <v>0</v>
      </c>
      <c r="I15" s="40">
        <f aca="true" t="shared" si="9" ref="I15:T16">I16</f>
        <v>0</v>
      </c>
      <c r="J15" s="40">
        <f t="shared" si="9"/>
        <v>0</v>
      </c>
      <c r="K15" s="40">
        <f t="shared" si="9"/>
        <v>0</v>
      </c>
      <c r="L15" s="40">
        <f t="shared" si="9"/>
        <v>0</v>
      </c>
      <c r="M15" s="40">
        <f t="shared" si="9"/>
        <v>0</v>
      </c>
      <c r="N15" s="4">
        <f t="shared" si="9"/>
        <v>0</v>
      </c>
      <c r="O15" s="4">
        <f t="shared" si="9"/>
        <v>0</v>
      </c>
      <c r="P15" s="4">
        <f t="shared" si="9"/>
        <v>0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4">
        <f t="shared" si="9"/>
        <v>0</v>
      </c>
    </row>
    <row r="16" spans="1:20" ht="12.75">
      <c r="A16" s="6" t="s">
        <v>22</v>
      </c>
      <c r="B16" s="6" t="s">
        <v>10</v>
      </c>
      <c r="C16" s="6" t="s">
        <v>4</v>
      </c>
      <c r="D16" s="6" t="s">
        <v>4</v>
      </c>
      <c r="E16" s="6" t="s">
        <v>24</v>
      </c>
      <c r="F16" s="4">
        <f>F17</f>
        <v>0</v>
      </c>
      <c r="G16" s="4">
        <f>G17</f>
        <v>0</v>
      </c>
      <c r="H16" s="7">
        <f t="shared" si="1"/>
        <v>0</v>
      </c>
      <c r="I16" s="40">
        <f t="shared" si="9"/>
        <v>0</v>
      </c>
      <c r="J16" s="40">
        <f t="shared" si="9"/>
        <v>0</v>
      </c>
      <c r="K16" s="40">
        <f t="shared" si="9"/>
        <v>0</v>
      </c>
      <c r="L16" s="40">
        <f t="shared" si="9"/>
        <v>0</v>
      </c>
      <c r="M16" s="40">
        <f t="shared" si="9"/>
        <v>0</v>
      </c>
      <c r="N16" s="4">
        <f t="shared" si="9"/>
        <v>0</v>
      </c>
      <c r="O16" s="4">
        <f t="shared" si="9"/>
        <v>0</v>
      </c>
      <c r="P16" s="4">
        <f t="shared" si="9"/>
        <v>0</v>
      </c>
      <c r="Q16" s="4">
        <f t="shared" si="9"/>
        <v>0</v>
      </c>
      <c r="R16" s="4">
        <f t="shared" si="9"/>
        <v>0</v>
      </c>
      <c r="S16" s="4">
        <f t="shared" si="9"/>
        <v>0</v>
      </c>
      <c r="T16" s="4">
        <f t="shared" si="9"/>
        <v>0</v>
      </c>
    </row>
    <row r="17" spans="1:20" ht="12.75">
      <c r="A17" s="6" t="s">
        <v>22</v>
      </c>
      <c r="B17" s="6" t="s">
        <v>10</v>
      </c>
      <c r="C17" s="6" t="s">
        <v>6</v>
      </c>
      <c r="D17" s="6" t="s">
        <v>4</v>
      </c>
      <c r="E17" s="6" t="s">
        <v>25</v>
      </c>
      <c r="F17" s="4"/>
      <c r="G17" s="4"/>
      <c r="H17" s="7">
        <f t="shared" si="1"/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6" t="s">
        <v>10</v>
      </c>
      <c r="B18" s="6" t="s">
        <v>4</v>
      </c>
      <c r="C18" s="6" t="s">
        <v>4</v>
      </c>
      <c r="D18" s="6" t="s">
        <v>4</v>
      </c>
      <c r="E18" s="6" t="s">
        <v>26</v>
      </c>
      <c r="F18" s="4">
        <f>F19+F27</f>
        <v>-110211.93000000001</v>
      </c>
      <c r="G18" s="4">
        <f>G19+G27</f>
        <v>-197669.87</v>
      </c>
      <c r="H18" s="7">
        <f t="shared" si="1"/>
        <v>-204213.50999999995</v>
      </c>
      <c r="I18" s="40">
        <f>I19+I27</f>
        <v>-14280.23</v>
      </c>
      <c r="J18" s="40">
        <f>J19+J27</f>
        <v>-25192.3</v>
      </c>
      <c r="K18" s="40">
        <f>K19+K27</f>
        <v>-20973.32</v>
      </c>
      <c r="L18" s="40">
        <f>L19+L27</f>
        <v>-15375.05</v>
      </c>
      <c r="M18" s="40">
        <f aca="true" t="shared" si="10" ref="M18:T18">M19+M27</f>
        <v>-15109.919999999998</v>
      </c>
      <c r="N18" s="4">
        <f t="shared" si="10"/>
        <v>-16245.89</v>
      </c>
      <c r="O18" s="4">
        <f t="shared" si="10"/>
        <v>-23270.33</v>
      </c>
      <c r="P18" s="4">
        <f t="shared" si="10"/>
        <v>-8676</v>
      </c>
      <c r="Q18" s="4">
        <f t="shared" si="10"/>
        <v>-11285.990000000002</v>
      </c>
      <c r="R18" s="4">
        <f t="shared" si="10"/>
        <v>-15865.12</v>
      </c>
      <c r="S18" s="4">
        <f t="shared" si="10"/>
        <v>-10147.02</v>
      </c>
      <c r="T18" s="4">
        <f t="shared" si="10"/>
        <v>-27792.339999999997</v>
      </c>
    </row>
    <row r="19" spans="1:20" ht="12.75">
      <c r="A19" s="6" t="s">
        <v>10</v>
      </c>
      <c r="B19" s="6" t="s">
        <v>13</v>
      </c>
      <c r="C19" s="6" t="s">
        <v>4</v>
      </c>
      <c r="D19" s="6" t="s">
        <v>4</v>
      </c>
      <c r="E19" s="6" t="s">
        <v>27</v>
      </c>
      <c r="F19" s="4">
        <f>F20+F26+F23</f>
        <v>-65494.91</v>
      </c>
      <c r="G19" s="4">
        <f>G20+G26+G23</f>
        <v>-71075.4</v>
      </c>
      <c r="H19" s="7">
        <f t="shared" si="1"/>
        <v>-67665.25</v>
      </c>
      <c r="I19" s="40">
        <f>I20+I26+I23</f>
        <v>-6143.8</v>
      </c>
      <c r="J19" s="40">
        <f>J20+J26+J23</f>
        <v>-6141.8</v>
      </c>
      <c r="K19" s="40">
        <f>K20+K26+K23</f>
        <v>-6285.2</v>
      </c>
      <c r="L19" s="40">
        <f>L20+L26+L23</f>
        <v>-6105.25</v>
      </c>
      <c r="M19" s="40">
        <f aca="true" t="shared" si="11" ref="M19:T19">M20+M26+M23</f>
        <v>-6363.05</v>
      </c>
      <c r="N19" s="4">
        <f t="shared" si="11"/>
        <v>-4705.25</v>
      </c>
      <c r="O19" s="4">
        <f t="shared" si="11"/>
        <v>-9939.4</v>
      </c>
      <c r="P19" s="4">
        <f t="shared" si="11"/>
        <v>-1494.6</v>
      </c>
      <c r="Q19" s="4">
        <f t="shared" si="11"/>
        <v>-2945.55</v>
      </c>
      <c r="R19" s="4">
        <f t="shared" si="11"/>
        <v>-4551.6</v>
      </c>
      <c r="S19" s="4">
        <f t="shared" si="11"/>
        <v>-4952.35</v>
      </c>
      <c r="T19" s="4">
        <f t="shared" si="11"/>
        <v>-8037.4</v>
      </c>
    </row>
    <row r="20" spans="1:20" ht="12.75">
      <c r="A20" s="6" t="s">
        <v>10</v>
      </c>
      <c r="B20" s="6" t="s">
        <v>13</v>
      </c>
      <c r="C20" s="6" t="s">
        <v>13</v>
      </c>
      <c r="D20" s="6" t="s">
        <v>4</v>
      </c>
      <c r="E20" s="6" t="s">
        <v>28</v>
      </c>
      <c r="F20" s="4">
        <f>SUM(F21:F22)</f>
        <v>-49141</v>
      </c>
      <c r="G20" s="4">
        <f>SUM(G21:G22)</f>
        <v>-53075.4</v>
      </c>
      <c r="H20" s="7">
        <f t="shared" si="1"/>
        <v>-50421.25</v>
      </c>
      <c r="I20" s="40">
        <f>SUM(I21:I22)</f>
        <v>-4570.8</v>
      </c>
      <c r="J20" s="40">
        <f>SUM(J21:J22)</f>
        <v>-4570.8</v>
      </c>
      <c r="K20" s="40">
        <f>SUM(K21:K22)</f>
        <v>-4678.2</v>
      </c>
      <c r="L20" s="40">
        <f>SUM(L21:L22)</f>
        <v>-4544.25</v>
      </c>
      <c r="M20" s="40">
        <f aca="true" t="shared" si="12" ref="M20:T20">SUM(M21:M22)</f>
        <v>-4758.05</v>
      </c>
      <c r="N20" s="4">
        <f t="shared" si="12"/>
        <v>-3501.25</v>
      </c>
      <c r="O20" s="4">
        <f t="shared" si="12"/>
        <v>-7412.4</v>
      </c>
      <c r="P20" s="4">
        <f t="shared" si="12"/>
        <v>-1111.6</v>
      </c>
      <c r="Q20" s="4">
        <f t="shared" si="12"/>
        <v>-2191.55</v>
      </c>
      <c r="R20" s="4">
        <f t="shared" si="12"/>
        <v>-3416.6</v>
      </c>
      <c r="S20" s="4">
        <f t="shared" si="12"/>
        <v>-3685.35</v>
      </c>
      <c r="T20" s="4">
        <f t="shared" si="12"/>
        <v>-5980.4</v>
      </c>
    </row>
    <row r="21" spans="1:20" ht="12.75">
      <c r="A21" s="12" t="s">
        <v>10</v>
      </c>
      <c r="B21" s="12" t="s">
        <v>13</v>
      </c>
      <c r="C21" s="12" t="s">
        <v>13</v>
      </c>
      <c r="D21" s="12" t="s">
        <v>6</v>
      </c>
      <c r="E21" s="12" t="s">
        <v>29</v>
      </c>
      <c r="F21" s="13">
        <v>-49141</v>
      </c>
      <c r="G21" s="13">
        <v>-53075.4</v>
      </c>
      <c r="H21" s="10">
        <f t="shared" si="1"/>
        <v>-50421.25</v>
      </c>
      <c r="I21" s="38">
        <v>-4570.8</v>
      </c>
      <c r="J21" s="38">
        <v>-4570.8</v>
      </c>
      <c r="K21" s="38">
        <v>-4678.2</v>
      </c>
      <c r="L21" s="38">
        <v>-4544.25</v>
      </c>
      <c r="M21" s="38">
        <v>-4758.05</v>
      </c>
      <c r="N21" s="13">
        <v>-3501.25</v>
      </c>
      <c r="O21" s="13">
        <v>-7412.4</v>
      </c>
      <c r="P21" s="13">
        <v>-1111.6</v>
      </c>
      <c r="Q21" s="13">
        <v>-2191.55</v>
      </c>
      <c r="R21" s="13">
        <v>-3416.6</v>
      </c>
      <c r="S21" s="13">
        <v>-3685.35</v>
      </c>
      <c r="T21" s="13">
        <v>-5980.4</v>
      </c>
    </row>
    <row r="22" spans="1:20" ht="12.75">
      <c r="A22" s="12" t="s">
        <v>10</v>
      </c>
      <c r="B22" s="12" t="s">
        <v>13</v>
      </c>
      <c r="C22" s="12" t="s">
        <v>13</v>
      </c>
      <c r="D22" s="12" t="s">
        <v>10</v>
      </c>
      <c r="E22" s="12" t="s">
        <v>30</v>
      </c>
      <c r="F22" s="13"/>
      <c r="G22" s="13"/>
      <c r="H22" s="10">
        <f t="shared" si="1"/>
        <v>0</v>
      </c>
      <c r="I22" s="38"/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</row>
    <row r="23" spans="1:20" ht="12.75">
      <c r="A23" s="14">
        <v>5</v>
      </c>
      <c r="B23" s="14">
        <v>0</v>
      </c>
      <c r="C23" s="14">
        <v>5</v>
      </c>
      <c r="D23" s="14"/>
      <c r="E23" s="14" t="s">
        <v>31</v>
      </c>
      <c r="F23" s="15">
        <f>SUM(F24:F25)</f>
        <v>0</v>
      </c>
      <c r="G23" s="15">
        <f>SUM(G24:G25)</f>
        <v>0</v>
      </c>
      <c r="H23" s="7">
        <f t="shared" si="1"/>
        <v>0</v>
      </c>
      <c r="I23" s="42">
        <f>SUM(I24:I25)</f>
        <v>0</v>
      </c>
      <c r="J23" s="42">
        <f>SUM(J24:J25)</f>
        <v>0</v>
      </c>
      <c r="K23" s="42">
        <f>SUM(K24:K25)</f>
        <v>0</v>
      </c>
      <c r="L23" s="42">
        <f>SUM(L24:L25)</f>
        <v>0</v>
      </c>
      <c r="M23" s="42">
        <f aca="true" t="shared" si="13" ref="M23:T23">SUM(M24:M25)</f>
        <v>0</v>
      </c>
      <c r="N23" s="15">
        <f t="shared" si="13"/>
        <v>0</v>
      </c>
      <c r="O23" s="15">
        <f t="shared" si="13"/>
        <v>0</v>
      </c>
      <c r="P23" s="15">
        <f t="shared" si="13"/>
        <v>0</v>
      </c>
      <c r="Q23" s="15">
        <f t="shared" si="13"/>
        <v>0</v>
      </c>
      <c r="R23" s="15">
        <f t="shared" si="13"/>
        <v>0</v>
      </c>
      <c r="S23" s="15">
        <f t="shared" si="13"/>
        <v>0</v>
      </c>
      <c r="T23" s="15">
        <f t="shared" si="13"/>
        <v>0</v>
      </c>
    </row>
    <row r="24" spans="1:20" ht="12.75">
      <c r="A24" s="12">
        <v>5</v>
      </c>
      <c r="B24" s="12">
        <v>0</v>
      </c>
      <c r="C24" s="12">
        <v>5</v>
      </c>
      <c r="D24" s="12">
        <v>1</v>
      </c>
      <c r="E24" s="12" t="s">
        <v>32</v>
      </c>
      <c r="F24" s="13"/>
      <c r="G24" s="13"/>
      <c r="H24" s="10">
        <f t="shared" si="1"/>
        <v>0</v>
      </c>
      <c r="I24" s="38"/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</row>
    <row r="25" spans="1:20" ht="12.75">
      <c r="A25" s="12">
        <v>5</v>
      </c>
      <c r="B25" s="12">
        <v>0</v>
      </c>
      <c r="C25" s="12">
        <v>5</v>
      </c>
      <c r="D25" s="12">
        <v>8</v>
      </c>
      <c r="E25" s="12" t="s">
        <v>33</v>
      </c>
      <c r="F25" s="13"/>
      <c r="G25" s="13"/>
      <c r="H25" s="10">
        <f t="shared" si="1"/>
        <v>0</v>
      </c>
      <c r="I25" s="38"/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</row>
    <row r="26" spans="1:20" ht="12.75">
      <c r="A26" s="6" t="s">
        <v>10</v>
      </c>
      <c r="B26" s="6" t="s">
        <v>13</v>
      </c>
      <c r="C26" s="6" t="s">
        <v>34</v>
      </c>
      <c r="D26" s="6" t="s">
        <v>4</v>
      </c>
      <c r="E26" s="6" t="s">
        <v>35</v>
      </c>
      <c r="F26" s="4">
        <v>-16353.91</v>
      </c>
      <c r="G26" s="4">
        <v>-18000</v>
      </c>
      <c r="H26" s="7">
        <f t="shared" si="1"/>
        <v>-17244</v>
      </c>
      <c r="I26" s="40">
        <v>-1573</v>
      </c>
      <c r="J26" s="40">
        <v>-1571</v>
      </c>
      <c r="K26" s="40">
        <v>-1607</v>
      </c>
      <c r="L26" s="40">
        <v>-1561</v>
      </c>
      <c r="M26" s="40">
        <v>-1605</v>
      </c>
      <c r="N26" s="4">
        <v>-1204</v>
      </c>
      <c r="O26" s="4">
        <v>-2527</v>
      </c>
      <c r="P26" s="4">
        <v>-383</v>
      </c>
      <c r="Q26" s="4">
        <v>-754</v>
      </c>
      <c r="R26" s="4">
        <v>-1135</v>
      </c>
      <c r="S26" s="4">
        <v>-1267</v>
      </c>
      <c r="T26" s="4">
        <v>-2057</v>
      </c>
    </row>
    <row r="27" spans="1:20" ht="12.75">
      <c r="A27" s="6" t="s">
        <v>10</v>
      </c>
      <c r="B27" s="6" t="s">
        <v>10</v>
      </c>
      <c r="C27" s="6" t="s">
        <v>4</v>
      </c>
      <c r="D27" s="6" t="s">
        <v>4</v>
      </c>
      <c r="E27" s="6" t="s">
        <v>36</v>
      </c>
      <c r="F27" s="4">
        <f>SUM(F28:F41)</f>
        <v>-44717.020000000004</v>
      </c>
      <c r="G27" s="4">
        <f>SUM(G28:G41)</f>
        <v>-126594.47</v>
      </c>
      <c r="H27" s="7">
        <f t="shared" si="1"/>
        <v>-136548.26</v>
      </c>
      <c r="I27" s="40">
        <f>SUM(I28:I41)</f>
        <v>-8136.43</v>
      </c>
      <c r="J27" s="40">
        <f aca="true" t="shared" si="14" ref="J27:T27">SUM(J28:J41)</f>
        <v>-19050.5</v>
      </c>
      <c r="K27" s="40">
        <f t="shared" si="14"/>
        <v>-14688.119999999999</v>
      </c>
      <c r="L27" s="40">
        <f t="shared" si="14"/>
        <v>-9269.8</v>
      </c>
      <c r="M27" s="40">
        <f t="shared" si="14"/>
        <v>-8746.869999999999</v>
      </c>
      <c r="N27" s="4">
        <f t="shared" si="14"/>
        <v>-11540.64</v>
      </c>
      <c r="O27" s="4">
        <f t="shared" si="14"/>
        <v>-13330.93</v>
      </c>
      <c r="P27" s="4">
        <f t="shared" si="14"/>
        <v>-7181.4</v>
      </c>
      <c r="Q27" s="4">
        <f t="shared" si="14"/>
        <v>-8340.44</v>
      </c>
      <c r="R27" s="4">
        <f t="shared" si="14"/>
        <v>-11313.52</v>
      </c>
      <c r="S27" s="4">
        <f t="shared" si="14"/>
        <v>-5194.67</v>
      </c>
      <c r="T27" s="4">
        <f t="shared" si="14"/>
        <v>-19754.94</v>
      </c>
    </row>
    <row r="28" spans="1:20" ht="12.75">
      <c r="A28" s="12" t="s">
        <v>10</v>
      </c>
      <c r="B28" s="12" t="s">
        <v>10</v>
      </c>
      <c r="C28" s="12" t="s">
        <v>13</v>
      </c>
      <c r="D28" s="12" t="s">
        <v>13</v>
      </c>
      <c r="E28" s="12" t="s">
        <v>37</v>
      </c>
      <c r="F28" s="13">
        <v>-1191.91</v>
      </c>
      <c r="G28" s="13">
        <v>-3106.27</v>
      </c>
      <c r="H28" s="10">
        <f t="shared" si="1"/>
        <v>-1857.44</v>
      </c>
      <c r="I28" s="38">
        <v>-158.19</v>
      </c>
      <c r="J28" s="38">
        <v>-130.87</v>
      </c>
      <c r="K28" s="38">
        <v>-120.82</v>
      </c>
      <c r="L28" s="38">
        <v>-326.39</v>
      </c>
      <c r="M28" s="38">
        <v>-75.21</v>
      </c>
      <c r="N28" s="13"/>
      <c r="O28" s="13">
        <v>-100</v>
      </c>
      <c r="P28" s="13">
        <v>-131.95</v>
      </c>
      <c r="Q28" s="13">
        <v>-225.13</v>
      </c>
      <c r="R28" s="13">
        <v>-256.78</v>
      </c>
      <c r="S28" s="13">
        <v>-168.16</v>
      </c>
      <c r="T28" s="13">
        <v>-163.94</v>
      </c>
    </row>
    <row r="29" spans="1:20" ht="12.75">
      <c r="A29" s="12" t="s">
        <v>10</v>
      </c>
      <c r="B29" s="12" t="s">
        <v>10</v>
      </c>
      <c r="C29" s="12" t="s">
        <v>13</v>
      </c>
      <c r="D29" s="12" t="s">
        <v>22</v>
      </c>
      <c r="E29" s="12" t="s">
        <v>103</v>
      </c>
      <c r="F29" s="13"/>
      <c r="G29" s="13"/>
      <c r="H29" s="10">
        <f t="shared" si="1"/>
        <v>0</v>
      </c>
      <c r="I29" s="38"/>
      <c r="J29" s="38"/>
      <c r="K29" s="38"/>
      <c r="L29" s="38"/>
      <c r="M29" s="38"/>
      <c r="N29" s="13"/>
      <c r="O29" s="13"/>
      <c r="P29" s="13"/>
      <c r="Q29" s="13"/>
      <c r="R29" s="13"/>
      <c r="S29" s="13"/>
      <c r="T29" s="13"/>
    </row>
    <row r="30" spans="1:20" ht="12.75">
      <c r="A30" s="12" t="s">
        <v>10</v>
      </c>
      <c r="B30" s="12" t="s">
        <v>10</v>
      </c>
      <c r="C30" s="12" t="s">
        <v>16</v>
      </c>
      <c r="D30" s="12" t="s">
        <v>16</v>
      </c>
      <c r="E30" s="12" t="s">
        <v>38</v>
      </c>
      <c r="F30" s="13">
        <v>-169.92</v>
      </c>
      <c r="G30" s="13">
        <v>-1414.91</v>
      </c>
      <c r="H30" s="10">
        <f t="shared" si="1"/>
        <v>-5146.1900000000005</v>
      </c>
      <c r="I30" s="38">
        <v>-50.76</v>
      </c>
      <c r="J30" s="38">
        <v>-50.76</v>
      </c>
      <c r="K30" s="38">
        <v>-420.42</v>
      </c>
      <c r="L30" s="38">
        <v>-514.63</v>
      </c>
      <c r="M30" s="38">
        <v>-818.57</v>
      </c>
      <c r="N30" s="13">
        <v>-420.42</v>
      </c>
      <c r="O30" s="13">
        <v>-420.42</v>
      </c>
      <c r="P30" s="13">
        <v>-420.42</v>
      </c>
      <c r="Q30" s="13">
        <v>-420.42</v>
      </c>
      <c r="R30" s="13">
        <v>-424.84</v>
      </c>
      <c r="S30" s="13">
        <v>-369.67</v>
      </c>
      <c r="T30" s="13">
        <v>-814.86</v>
      </c>
    </row>
    <row r="31" spans="1:20" ht="12.75">
      <c r="A31" s="12" t="s">
        <v>10</v>
      </c>
      <c r="B31" s="12" t="s">
        <v>10</v>
      </c>
      <c r="C31" s="12" t="s">
        <v>16</v>
      </c>
      <c r="D31" s="12" t="s">
        <v>6</v>
      </c>
      <c r="E31" s="12" t="s">
        <v>39</v>
      </c>
      <c r="F31" s="13">
        <v>-26453.16</v>
      </c>
      <c r="G31" s="13">
        <v>-93645.79</v>
      </c>
      <c r="H31" s="10">
        <f t="shared" si="1"/>
        <v>-95977.85999999999</v>
      </c>
      <c r="I31" s="38">
        <v>-5111.39</v>
      </c>
      <c r="J31" s="38">
        <v>-14411.9</v>
      </c>
      <c r="K31" s="38">
        <v>-12817.8</v>
      </c>
      <c r="L31" s="38">
        <v>-6638.94</v>
      </c>
      <c r="M31" s="38">
        <v>-6648.67</v>
      </c>
      <c r="N31" s="13">
        <v>-5968.92</v>
      </c>
      <c r="O31" s="13">
        <v>-6995.36</v>
      </c>
      <c r="P31" s="13">
        <v>-5033.04</v>
      </c>
      <c r="Q31" s="13">
        <v>-5652.91</v>
      </c>
      <c r="R31" s="13">
        <v>-6186.15</v>
      </c>
      <c r="S31" s="13">
        <v>-3189.62</v>
      </c>
      <c r="T31" s="13">
        <v>-17323.16</v>
      </c>
    </row>
    <row r="32" spans="1:20" ht="12.75">
      <c r="A32" s="12" t="s">
        <v>10</v>
      </c>
      <c r="B32" s="12" t="s">
        <v>10</v>
      </c>
      <c r="C32" s="12" t="s">
        <v>16</v>
      </c>
      <c r="D32" s="12" t="s">
        <v>3</v>
      </c>
      <c r="E32" s="12" t="s">
        <v>40</v>
      </c>
      <c r="F32" s="13">
        <v>-15905</v>
      </c>
      <c r="G32" s="13">
        <v>-18521.91</v>
      </c>
      <c r="H32" s="10">
        <f t="shared" si="1"/>
        <v>-16502.84</v>
      </c>
      <c r="I32" s="38">
        <v>-1016.09</v>
      </c>
      <c r="J32" s="38">
        <v>-1206.97</v>
      </c>
      <c r="K32" s="38">
        <v>-1329.08</v>
      </c>
      <c r="L32" s="38">
        <v>-889.84</v>
      </c>
      <c r="M32" s="38">
        <v>-376.42</v>
      </c>
      <c r="N32" s="13">
        <v>-2175.3</v>
      </c>
      <c r="O32" s="13">
        <v>-1685.48</v>
      </c>
      <c r="P32" s="13">
        <v>-1595.99</v>
      </c>
      <c r="Q32" s="13">
        <v>-2041.98</v>
      </c>
      <c r="R32" s="13">
        <v>-1445.75</v>
      </c>
      <c r="S32" s="13">
        <v>-1286.96</v>
      </c>
      <c r="T32" s="13">
        <v>-1452.98</v>
      </c>
    </row>
    <row r="33" spans="1:20" ht="12.75">
      <c r="A33" s="12" t="s">
        <v>10</v>
      </c>
      <c r="B33" s="12" t="s">
        <v>10</v>
      </c>
      <c r="C33" s="12" t="s">
        <v>16</v>
      </c>
      <c r="D33" s="12" t="s">
        <v>22</v>
      </c>
      <c r="E33" s="12" t="s">
        <v>41</v>
      </c>
      <c r="F33" s="13">
        <v>-90</v>
      </c>
      <c r="G33" s="13"/>
      <c r="H33" s="10">
        <f t="shared" si="1"/>
        <v>0</v>
      </c>
      <c r="I33" s="38"/>
      <c r="J33" s="38"/>
      <c r="K33" s="38"/>
      <c r="L33" s="38"/>
      <c r="M33" s="38"/>
      <c r="N33" s="13"/>
      <c r="O33" s="13"/>
      <c r="P33" s="13"/>
      <c r="Q33" s="13"/>
      <c r="R33" s="13"/>
      <c r="S33" s="13"/>
      <c r="T33" s="13"/>
    </row>
    <row r="34" spans="1:20" ht="12.75">
      <c r="A34" s="12" t="s">
        <v>10</v>
      </c>
      <c r="B34" s="12" t="s">
        <v>10</v>
      </c>
      <c r="C34" s="12" t="s">
        <v>16</v>
      </c>
      <c r="D34" s="12" t="s">
        <v>10</v>
      </c>
      <c r="E34" s="12" t="s">
        <v>42</v>
      </c>
      <c r="F34" s="13">
        <v>-19.83</v>
      </c>
      <c r="G34" s="13">
        <v>-3382.67</v>
      </c>
      <c r="H34" s="10">
        <f t="shared" si="1"/>
        <v>-3250</v>
      </c>
      <c r="I34" s="38"/>
      <c r="J34" s="38">
        <v>-3250</v>
      </c>
      <c r="K34" s="38"/>
      <c r="L34" s="38"/>
      <c r="M34" s="38"/>
      <c r="N34" s="13"/>
      <c r="O34" s="13"/>
      <c r="P34" s="13"/>
      <c r="Q34" s="13"/>
      <c r="R34" s="13"/>
      <c r="S34" s="13"/>
      <c r="T34" s="13"/>
    </row>
    <row r="35" spans="1:20" ht="12.75">
      <c r="A35" s="12" t="s">
        <v>10</v>
      </c>
      <c r="B35" s="12" t="s">
        <v>10</v>
      </c>
      <c r="C35" s="12" t="s">
        <v>16</v>
      </c>
      <c r="D35" s="12" t="s">
        <v>34</v>
      </c>
      <c r="E35" s="12" t="s">
        <v>43</v>
      </c>
      <c r="F35" s="13">
        <v>-260</v>
      </c>
      <c r="G35" s="13">
        <v>-471.33</v>
      </c>
      <c r="H35" s="10">
        <f t="shared" si="1"/>
        <v>-4039</v>
      </c>
      <c r="I35" s="38"/>
      <c r="J35" s="38"/>
      <c r="K35" s="38"/>
      <c r="L35" s="38"/>
      <c r="M35" s="38"/>
      <c r="N35" s="13">
        <f>-2976</f>
        <v>-2976</v>
      </c>
      <c r="O35" s="13">
        <v>-1063</v>
      </c>
      <c r="P35" s="13"/>
      <c r="Q35" s="13"/>
      <c r="R35" s="13"/>
      <c r="S35" s="13"/>
      <c r="T35" s="13"/>
    </row>
    <row r="36" spans="1:20" ht="12.75">
      <c r="A36" s="12" t="s">
        <v>10</v>
      </c>
      <c r="B36" s="12" t="s">
        <v>10</v>
      </c>
      <c r="C36" s="12" t="s">
        <v>6</v>
      </c>
      <c r="D36" s="12" t="s">
        <v>6</v>
      </c>
      <c r="E36" s="12" t="s">
        <v>44</v>
      </c>
      <c r="F36" s="13">
        <v>0</v>
      </c>
      <c r="G36" s="13"/>
      <c r="H36" s="10">
        <f t="shared" si="1"/>
        <v>0</v>
      </c>
      <c r="I36" s="38"/>
      <c r="J36" s="38"/>
      <c r="K36" s="38"/>
      <c r="L36" s="38"/>
      <c r="M36" s="38"/>
      <c r="N36" s="13"/>
      <c r="O36" s="13"/>
      <c r="P36" s="13"/>
      <c r="Q36" s="13"/>
      <c r="R36" s="13"/>
      <c r="S36" s="13"/>
      <c r="T36" s="13"/>
    </row>
    <row r="37" spans="1:20" ht="12.75">
      <c r="A37" s="12">
        <v>5</v>
      </c>
      <c r="B37" s="12">
        <v>5</v>
      </c>
      <c r="C37" s="12">
        <v>2</v>
      </c>
      <c r="D37" s="12">
        <v>5</v>
      </c>
      <c r="E37" s="12" t="s">
        <v>45</v>
      </c>
      <c r="F37" s="13"/>
      <c r="G37" s="13">
        <v>0</v>
      </c>
      <c r="H37" s="10">
        <f t="shared" si="1"/>
        <v>0</v>
      </c>
      <c r="I37" s="38"/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</row>
    <row r="38" spans="1:20" ht="12.75">
      <c r="A38" s="12" t="s">
        <v>10</v>
      </c>
      <c r="B38" s="12" t="s">
        <v>10</v>
      </c>
      <c r="C38" s="12" t="s">
        <v>6</v>
      </c>
      <c r="D38" s="12" t="s">
        <v>46</v>
      </c>
      <c r="E38" s="12" t="s">
        <v>47</v>
      </c>
      <c r="F38" s="13">
        <v>0</v>
      </c>
      <c r="G38" s="13"/>
      <c r="H38" s="10">
        <f t="shared" si="1"/>
        <v>0</v>
      </c>
      <c r="I38" s="38"/>
      <c r="J38" s="38">
        <f>(J81+J84)*-1</f>
        <v>0</v>
      </c>
      <c r="K38" s="38"/>
      <c r="L38" s="38">
        <f>(L81+L84)*-1</f>
        <v>0</v>
      </c>
      <c r="M38" s="38">
        <f aca="true" t="shared" si="15" ref="M38:S38">(M81+M84)*-1</f>
        <v>0</v>
      </c>
      <c r="N38" s="13"/>
      <c r="O38" s="13">
        <f t="shared" si="15"/>
        <v>0</v>
      </c>
      <c r="P38" s="13">
        <f t="shared" si="15"/>
        <v>0</v>
      </c>
      <c r="Q38" s="13">
        <v>0</v>
      </c>
      <c r="R38" s="13">
        <f t="shared" si="15"/>
        <v>0</v>
      </c>
      <c r="S38" s="13">
        <f t="shared" si="15"/>
        <v>0</v>
      </c>
      <c r="T38" s="13"/>
    </row>
    <row r="39" spans="1:20" ht="12.75">
      <c r="A39" s="12" t="s">
        <v>10</v>
      </c>
      <c r="B39" s="12" t="s">
        <v>10</v>
      </c>
      <c r="C39" s="12" t="s">
        <v>3</v>
      </c>
      <c r="D39" s="12" t="s">
        <v>6</v>
      </c>
      <c r="E39" s="12" t="s">
        <v>48</v>
      </c>
      <c r="F39" s="13">
        <v>0</v>
      </c>
      <c r="G39" s="13">
        <v>-1185.59</v>
      </c>
      <c r="H39" s="10">
        <f t="shared" si="1"/>
        <v>-180.26</v>
      </c>
      <c r="I39" s="38"/>
      <c r="J39" s="38"/>
      <c r="K39" s="38"/>
      <c r="L39" s="38"/>
      <c r="M39" s="38"/>
      <c r="N39" s="13"/>
      <c r="O39" s="13"/>
      <c r="P39" s="13"/>
      <c r="Q39" s="13"/>
      <c r="R39" s="13"/>
      <c r="S39" s="13">
        <v>-180.26</v>
      </c>
      <c r="T39" s="13"/>
    </row>
    <row r="40" spans="1:20" ht="12.75">
      <c r="A40" s="12" t="s">
        <v>10</v>
      </c>
      <c r="B40" s="12" t="s">
        <v>10</v>
      </c>
      <c r="C40" s="12" t="s">
        <v>3</v>
      </c>
      <c r="D40" s="12" t="s">
        <v>46</v>
      </c>
      <c r="E40" s="12" t="s">
        <v>49</v>
      </c>
      <c r="F40" s="13">
        <v>-627.2</v>
      </c>
      <c r="G40" s="13">
        <v>-4866</v>
      </c>
      <c r="H40" s="10">
        <f t="shared" si="1"/>
        <v>-9594.67</v>
      </c>
      <c r="I40" s="38">
        <v>-1800</v>
      </c>
      <c r="J40" s="38"/>
      <c r="K40" s="38"/>
      <c r="L40" s="38">
        <v>-900</v>
      </c>
      <c r="M40" s="38">
        <v>-828</v>
      </c>
      <c r="N40" s="13"/>
      <c r="O40" s="13">
        <v>-3066.67</v>
      </c>
      <c r="P40" s="13">
        <v>0</v>
      </c>
      <c r="Q40" s="13"/>
      <c r="R40" s="13">
        <v>-3000</v>
      </c>
      <c r="S40" s="13"/>
      <c r="T40" s="13"/>
    </row>
    <row r="41" spans="1:20" ht="12.75">
      <c r="A41" s="12">
        <v>5</v>
      </c>
      <c r="B41" s="12">
        <v>5</v>
      </c>
      <c r="C41" s="12">
        <v>4</v>
      </c>
      <c r="D41" s="12">
        <v>0</v>
      </c>
      <c r="E41" s="12" t="s">
        <v>106</v>
      </c>
      <c r="F41" s="13"/>
      <c r="G41" s="13"/>
      <c r="H41" s="10">
        <f t="shared" si="1"/>
        <v>0</v>
      </c>
      <c r="I41" s="38"/>
      <c r="J41" s="38"/>
      <c r="K41" s="38"/>
      <c r="L41" s="38"/>
      <c r="M41" s="38"/>
      <c r="N41" s="13"/>
      <c r="O41" s="13"/>
      <c r="P41" s="13"/>
      <c r="Q41" s="13"/>
      <c r="R41" s="13"/>
      <c r="S41" s="13"/>
      <c r="T41" s="13"/>
    </row>
    <row r="42" spans="1:20" ht="12.75">
      <c r="A42" s="6" t="s">
        <v>34</v>
      </c>
      <c r="B42" s="6" t="s">
        <v>4</v>
      </c>
      <c r="C42" s="6" t="s">
        <v>4</v>
      </c>
      <c r="D42" s="6" t="s">
        <v>4</v>
      </c>
      <c r="E42" s="6" t="s">
        <v>50</v>
      </c>
      <c r="F42" s="4">
        <f>F43+F48+F55+F58</f>
        <v>-268787.91</v>
      </c>
      <c r="G42" s="4">
        <f>G43+G48+G55+G58</f>
        <v>-199572.71</v>
      </c>
      <c r="H42" s="4">
        <f t="shared" si="1"/>
        <v>-324867.29</v>
      </c>
      <c r="I42" s="40">
        <f aca="true" t="shared" si="16" ref="I42:T42">I43+I48+I55+I58</f>
        <v>-18406.69</v>
      </c>
      <c r="J42" s="40">
        <f t="shared" si="16"/>
        <v>-18353.52</v>
      </c>
      <c r="K42" s="40">
        <f t="shared" si="16"/>
        <v>-22876.54</v>
      </c>
      <c r="L42" s="40">
        <f t="shared" si="16"/>
        <v>-18100.71</v>
      </c>
      <c r="M42" s="40">
        <f t="shared" si="16"/>
        <v>-17952.67</v>
      </c>
      <c r="N42" s="4">
        <f t="shared" si="16"/>
        <v>-35066.61</v>
      </c>
      <c r="O42" s="4">
        <f t="shared" si="16"/>
        <v>-22068.510000000002</v>
      </c>
      <c r="P42" s="4">
        <f t="shared" si="16"/>
        <v>-18611.72</v>
      </c>
      <c r="Q42" s="4">
        <f t="shared" si="16"/>
        <v>-76539.26</v>
      </c>
      <c r="R42" s="4">
        <f>R43+R48+R55+R58</f>
        <v>-18562.93</v>
      </c>
      <c r="S42" s="4">
        <f t="shared" si="16"/>
        <v>-32340.15</v>
      </c>
      <c r="T42" s="4">
        <f t="shared" si="16"/>
        <v>-25987.98</v>
      </c>
    </row>
    <row r="43" spans="1:20" ht="12.75">
      <c r="A43" s="6" t="s">
        <v>34</v>
      </c>
      <c r="B43" s="6" t="s">
        <v>13</v>
      </c>
      <c r="C43" s="6" t="s">
        <v>4</v>
      </c>
      <c r="D43" s="6" t="s">
        <v>4</v>
      </c>
      <c r="E43" s="6" t="s">
        <v>51</v>
      </c>
      <c r="F43" s="4">
        <f>F44+F46+F47</f>
        <v>-256657.84</v>
      </c>
      <c r="G43" s="4">
        <f>G44+G46+G47</f>
        <v>-32375.06</v>
      </c>
      <c r="H43" s="7">
        <f t="shared" si="1"/>
        <v>-104127.22</v>
      </c>
      <c r="I43" s="40">
        <f aca="true" t="shared" si="17" ref="I43:T43">I44+I46+I47</f>
        <v>0</v>
      </c>
      <c r="J43" s="40">
        <f t="shared" si="17"/>
        <v>0</v>
      </c>
      <c r="K43" s="40">
        <f t="shared" si="17"/>
        <v>-5122</v>
      </c>
      <c r="L43" s="40">
        <f t="shared" si="17"/>
        <v>0</v>
      </c>
      <c r="M43" s="40">
        <f t="shared" si="17"/>
        <v>-22</v>
      </c>
      <c r="N43" s="4">
        <f t="shared" si="17"/>
        <v>-16361</v>
      </c>
      <c r="O43" s="4">
        <f t="shared" si="17"/>
        <v>-3546</v>
      </c>
      <c r="P43" s="4">
        <f t="shared" si="17"/>
        <v>-28</v>
      </c>
      <c r="Q43" s="4">
        <f t="shared" si="17"/>
        <v>-57801.12</v>
      </c>
      <c r="R43" s="4">
        <f t="shared" si="17"/>
        <v>0</v>
      </c>
      <c r="S43" s="4">
        <f t="shared" si="17"/>
        <v>-13714</v>
      </c>
      <c r="T43" s="4">
        <f t="shared" si="17"/>
        <v>-7533.1</v>
      </c>
    </row>
    <row r="44" spans="1:20" ht="12.75">
      <c r="A44" s="6" t="s">
        <v>34</v>
      </c>
      <c r="B44" s="6" t="s">
        <v>13</v>
      </c>
      <c r="C44" s="6" t="s">
        <v>16</v>
      </c>
      <c r="D44" s="6" t="s">
        <v>4</v>
      </c>
      <c r="E44" s="6" t="s">
        <v>52</v>
      </c>
      <c r="F44" s="4">
        <f>F45</f>
        <v>-256657.84</v>
      </c>
      <c r="G44" s="4">
        <f>G45</f>
        <v>-28546.24</v>
      </c>
      <c r="H44" s="7">
        <f t="shared" si="1"/>
        <v>-100774.03</v>
      </c>
      <c r="I44" s="40">
        <f>I45</f>
        <v>0</v>
      </c>
      <c r="J44" s="40">
        <f>J45</f>
        <v>0</v>
      </c>
      <c r="K44" s="40">
        <f>K45</f>
        <v>-5122</v>
      </c>
      <c r="L44" s="40">
        <f>L45</f>
        <v>0</v>
      </c>
      <c r="M44" s="40">
        <f aca="true" t="shared" si="18" ref="M44:T44">M45</f>
        <v>-22</v>
      </c>
      <c r="N44" s="4">
        <f t="shared" si="18"/>
        <v>-16361</v>
      </c>
      <c r="O44" s="4">
        <f t="shared" si="18"/>
        <v>-3546</v>
      </c>
      <c r="P44" s="4">
        <f t="shared" si="18"/>
        <v>-28</v>
      </c>
      <c r="Q44" s="4">
        <f t="shared" si="18"/>
        <v>-57801.12</v>
      </c>
      <c r="R44" s="4">
        <f t="shared" si="18"/>
        <v>0</v>
      </c>
      <c r="S44" s="4">
        <f t="shared" si="18"/>
        <v>-13714</v>
      </c>
      <c r="T44" s="4">
        <f t="shared" si="18"/>
        <v>-4179.91</v>
      </c>
    </row>
    <row r="45" spans="1:20" ht="12.75">
      <c r="A45" s="12" t="s">
        <v>34</v>
      </c>
      <c r="B45" s="12" t="s">
        <v>13</v>
      </c>
      <c r="C45" s="12" t="s">
        <v>16</v>
      </c>
      <c r="D45" s="12" t="s">
        <v>13</v>
      </c>
      <c r="E45" s="12" t="s">
        <v>53</v>
      </c>
      <c r="F45" s="13">
        <v>-256657.84</v>
      </c>
      <c r="G45" s="13">
        <v>-28546.24</v>
      </c>
      <c r="H45" s="10">
        <f t="shared" si="1"/>
        <v>-100774.03</v>
      </c>
      <c r="I45" s="38"/>
      <c r="J45" s="38"/>
      <c r="K45" s="38">
        <v>-5122</v>
      </c>
      <c r="L45" s="38"/>
      <c r="M45" s="38">
        <v>-22</v>
      </c>
      <c r="N45" s="13">
        <v>-16361</v>
      </c>
      <c r="O45" s="13">
        <v>-3546</v>
      </c>
      <c r="P45" s="13">
        <v>-28</v>
      </c>
      <c r="Q45" s="13">
        <v>-57801.12</v>
      </c>
      <c r="R45" s="13"/>
      <c r="S45" s="13">
        <v>-13714</v>
      </c>
      <c r="T45" s="13">
        <v>-4179.91</v>
      </c>
    </row>
    <row r="46" spans="1:20" ht="12.75">
      <c r="A46" s="14" t="s">
        <v>34</v>
      </c>
      <c r="B46" s="14" t="s">
        <v>13</v>
      </c>
      <c r="C46" s="14">
        <v>5</v>
      </c>
      <c r="D46" s="14"/>
      <c r="E46" s="14" t="s">
        <v>54</v>
      </c>
      <c r="F46" s="15">
        <v>0</v>
      </c>
      <c r="G46" s="15">
        <v>-3828.82</v>
      </c>
      <c r="H46" s="7">
        <f t="shared" si="1"/>
        <v>-2945.53</v>
      </c>
      <c r="I46" s="42"/>
      <c r="J46" s="42"/>
      <c r="K46" s="42"/>
      <c r="L46" s="42"/>
      <c r="M46" s="42"/>
      <c r="N46" s="15"/>
      <c r="O46" s="15"/>
      <c r="P46" s="15"/>
      <c r="Q46" s="15"/>
      <c r="R46" s="15"/>
      <c r="S46" s="15"/>
      <c r="T46" s="15">
        <v>-2945.53</v>
      </c>
    </row>
    <row r="47" spans="1:20" ht="12.75">
      <c r="A47" s="14">
        <v>6</v>
      </c>
      <c r="B47" s="14">
        <v>0</v>
      </c>
      <c r="C47" s="14">
        <v>8</v>
      </c>
      <c r="D47" s="14"/>
      <c r="E47" s="14" t="s">
        <v>105</v>
      </c>
      <c r="F47" s="15"/>
      <c r="G47" s="15"/>
      <c r="H47" s="7">
        <f t="shared" si="1"/>
        <v>-407.66</v>
      </c>
      <c r="I47" s="42"/>
      <c r="J47" s="42"/>
      <c r="K47" s="42"/>
      <c r="L47" s="42"/>
      <c r="M47" s="42"/>
      <c r="N47" s="15"/>
      <c r="O47" s="15"/>
      <c r="P47" s="15"/>
      <c r="Q47" s="15"/>
      <c r="R47" s="15"/>
      <c r="S47" s="15"/>
      <c r="T47" s="15">
        <v>-407.66</v>
      </c>
    </row>
    <row r="48" spans="1:20" ht="12.75">
      <c r="A48" s="6" t="s">
        <v>34</v>
      </c>
      <c r="B48" s="6" t="s">
        <v>16</v>
      </c>
      <c r="C48" s="6" t="s">
        <v>4</v>
      </c>
      <c r="D48" s="6" t="s">
        <v>4</v>
      </c>
      <c r="E48" s="6" t="s">
        <v>55</v>
      </c>
      <c r="F48" s="4">
        <f>F54+F49</f>
        <v>-9274</v>
      </c>
      <c r="G48" s="4">
        <f>G54+G49</f>
        <v>-103463</v>
      </c>
      <c r="H48" s="7">
        <f t="shared" si="1"/>
        <v>-176497</v>
      </c>
      <c r="I48" s="40">
        <f>I54+I49</f>
        <v>-14295</v>
      </c>
      <c r="J48" s="40">
        <f>J54+J49</f>
        <v>-14296</v>
      </c>
      <c r="K48" s="40">
        <f>K54+K49</f>
        <v>-14296</v>
      </c>
      <c r="L48" s="40">
        <f>L54+L49</f>
        <v>-14292</v>
      </c>
      <c r="M48" s="40">
        <f aca="true" t="shared" si="19" ref="M48:T48">M54+M49</f>
        <v>-14295</v>
      </c>
      <c r="N48" s="4">
        <f t="shared" si="19"/>
        <v>-15004</v>
      </c>
      <c r="O48" s="4">
        <f t="shared" si="19"/>
        <v>-15004</v>
      </c>
      <c r="P48" s="4">
        <f t="shared" si="19"/>
        <v>-15003</v>
      </c>
      <c r="Q48" s="4">
        <f t="shared" si="19"/>
        <v>-15004</v>
      </c>
      <c r="R48" s="4">
        <f t="shared" si="19"/>
        <v>-15002</v>
      </c>
      <c r="S48" s="4">
        <f t="shared" si="19"/>
        <v>-15003</v>
      </c>
      <c r="T48" s="4">
        <f t="shared" si="19"/>
        <v>-15003</v>
      </c>
    </row>
    <row r="49" spans="1:20" ht="12.75">
      <c r="A49" s="6" t="s">
        <v>34</v>
      </c>
      <c r="B49" s="6" t="s">
        <v>16</v>
      </c>
      <c r="C49" s="6" t="s">
        <v>16</v>
      </c>
      <c r="D49" s="6" t="s">
        <v>4</v>
      </c>
      <c r="E49" s="6" t="s">
        <v>56</v>
      </c>
      <c r="F49" s="4">
        <f>SUM(F50:F53)</f>
        <v>-9274</v>
      </c>
      <c r="G49" s="4">
        <f>SUM(G50:G53)</f>
        <v>-103463</v>
      </c>
      <c r="H49" s="7">
        <f t="shared" si="1"/>
        <v>-176497</v>
      </c>
      <c r="I49" s="40">
        <f>SUM(I50:I53)</f>
        <v>-14295</v>
      </c>
      <c r="J49" s="40">
        <f>SUM(J50:J53)</f>
        <v>-14296</v>
      </c>
      <c r="K49" s="40">
        <v>-14296</v>
      </c>
      <c r="L49" s="40">
        <f>SUM(L50:L53)</f>
        <v>-14292</v>
      </c>
      <c r="M49" s="40">
        <f aca="true" t="shared" si="20" ref="M49:T49">SUM(M50:M53)</f>
        <v>-14295</v>
      </c>
      <c r="N49" s="4">
        <f t="shared" si="20"/>
        <v>-15004</v>
      </c>
      <c r="O49" s="4">
        <f t="shared" si="20"/>
        <v>-15004</v>
      </c>
      <c r="P49" s="4">
        <f t="shared" si="20"/>
        <v>-15003</v>
      </c>
      <c r="Q49" s="4">
        <f t="shared" si="20"/>
        <v>-15004</v>
      </c>
      <c r="R49" s="4">
        <f t="shared" si="20"/>
        <v>-15002</v>
      </c>
      <c r="S49" s="4">
        <f t="shared" si="20"/>
        <v>-15003</v>
      </c>
      <c r="T49" s="4">
        <f t="shared" si="20"/>
        <v>-15003</v>
      </c>
    </row>
    <row r="50" spans="1:20" ht="12.75">
      <c r="A50" s="12" t="s">
        <v>34</v>
      </c>
      <c r="B50" s="12" t="s">
        <v>16</v>
      </c>
      <c r="C50" s="12" t="s">
        <v>16</v>
      </c>
      <c r="D50" s="12" t="s">
        <v>13</v>
      </c>
      <c r="E50" s="12" t="s">
        <v>57</v>
      </c>
      <c r="F50" s="13">
        <v>-9274</v>
      </c>
      <c r="G50" s="13">
        <v>-102418</v>
      </c>
      <c r="H50" s="10">
        <f t="shared" si="1"/>
        <v>-174706</v>
      </c>
      <c r="I50" s="38">
        <v>-14146</v>
      </c>
      <c r="J50" s="38">
        <v>-14146</v>
      </c>
      <c r="K50" s="38">
        <v>-14147</v>
      </c>
      <c r="L50" s="38">
        <v>-14143</v>
      </c>
      <c r="M50" s="38">
        <v>-14146</v>
      </c>
      <c r="N50" s="13">
        <v>-14854</v>
      </c>
      <c r="O50" s="13">
        <v>-14855</v>
      </c>
      <c r="P50" s="13">
        <v>-14854</v>
      </c>
      <c r="Q50" s="13">
        <v>-14855</v>
      </c>
      <c r="R50" s="13">
        <v>-14852</v>
      </c>
      <c r="S50" s="13">
        <v>-14854</v>
      </c>
      <c r="T50" s="13">
        <v>-14854</v>
      </c>
    </row>
    <row r="51" spans="1:20" ht="12.75">
      <c r="A51" s="12" t="s">
        <v>34</v>
      </c>
      <c r="B51" s="12" t="s">
        <v>16</v>
      </c>
      <c r="C51" s="12" t="s">
        <v>16</v>
      </c>
      <c r="D51" s="12" t="s">
        <v>22</v>
      </c>
      <c r="E51" s="12" t="s">
        <v>58</v>
      </c>
      <c r="F51" s="13"/>
      <c r="G51" s="13">
        <v>-1045</v>
      </c>
      <c r="H51" s="10">
        <f>SUM(I51:T51)</f>
        <v>-1791</v>
      </c>
      <c r="I51" s="38">
        <v>-149</v>
      </c>
      <c r="J51" s="38">
        <v>-150</v>
      </c>
      <c r="K51" s="38">
        <v>-149</v>
      </c>
      <c r="L51" s="38">
        <v>-149</v>
      </c>
      <c r="M51" s="38">
        <v>-149</v>
      </c>
      <c r="N51" s="13">
        <v>-150</v>
      </c>
      <c r="O51" s="13">
        <v>-149</v>
      </c>
      <c r="P51" s="13">
        <v>-149</v>
      </c>
      <c r="Q51" s="13">
        <v>-149</v>
      </c>
      <c r="R51" s="13">
        <v>-150</v>
      </c>
      <c r="S51" s="13">
        <v>-149</v>
      </c>
      <c r="T51" s="13">
        <v>-149</v>
      </c>
    </row>
    <row r="52" spans="1:20" ht="12.75">
      <c r="A52" s="12" t="s">
        <v>34</v>
      </c>
      <c r="B52" s="12" t="s">
        <v>16</v>
      </c>
      <c r="C52" s="12" t="s">
        <v>16</v>
      </c>
      <c r="D52" s="12" t="s">
        <v>10</v>
      </c>
      <c r="E52" s="12" t="s">
        <v>59</v>
      </c>
      <c r="F52" s="13"/>
      <c r="G52" s="13"/>
      <c r="H52" s="10">
        <f t="shared" si="1"/>
        <v>0</v>
      </c>
      <c r="I52" s="38"/>
      <c r="J52" s="38"/>
      <c r="K52" s="38"/>
      <c r="L52" s="38"/>
      <c r="M52" s="38"/>
      <c r="N52" s="13"/>
      <c r="O52" s="1"/>
      <c r="P52" s="1"/>
      <c r="Q52" s="1"/>
      <c r="R52" s="1"/>
      <c r="S52" s="1"/>
      <c r="T52" s="1"/>
    </row>
    <row r="53" spans="1:20" ht="12.75">
      <c r="A53" s="12">
        <v>6</v>
      </c>
      <c r="B53" s="12">
        <v>1</v>
      </c>
      <c r="C53" s="12">
        <v>1</v>
      </c>
      <c r="D53" s="12">
        <v>6</v>
      </c>
      <c r="E53" s="12" t="s">
        <v>60</v>
      </c>
      <c r="F53" s="13"/>
      <c r="G53" s="13"/>
      <c r="H53" s="10">
        <f t="shared" si="1"/>
        <v>0</v>
      </c>
      <c r="I53" s="38"/>
      <c r="J53" s="38"/>
      <c r="K53" s="38"/>
      <c r="L53" s="38"/>
      <c r="M53" s="38"/>
      <c r="N53" s="13"/>
      <c r="O53" s="13"/>
      <c r="P53" s="13"/>
      <c r="Q53" s="13"/>
      <c r="R53" s="13"/>
      <c r="S53" s="13"/>
      <c r="T53" s="13"/>
    </row>
    <row r="54" spans="1:20" ht="12.75">
      <c r="A54" s="6" t="s">
        <v>34</v>
      </c>
      <c r="B54" s="6" t="s">
        <v>16</v>
      </c>
      <c r="C54" s="6" t="s">
        <v>3</v>
      </c>
      <c r="D54" s="6" t="s">
        <v>4</v>
      </c>
      <c r="E54" s="6" t="s">
        <v>61</v>
      </c>
      <c r="F54" s="4">
        <v>0</v>
      </c>
      <c r="G54" s="4"/>
      <c r="H54" s="7">
        <f t="shared" si="1"/>
        <v>0</v>
      </c>
      <c r="I54" s="40"/>
      <c r="J54" s="40"/>
      <c r="K54" s="40"/>
      <c r="L54" s="40"/>
      <c r="M54" s="40"/>
      <c r="N54" s="4"/>
      <c r="O54" s="4"/>
      <c r="P54" s="4"/>
      <c r="Q54" s="4"/>
      <c r="R54" s="4"/>
      <c r="S54" s="4"/>
      <c r="T54" s="4"/>
    </row>
    <row r="55" spans="1:20" ht="12.75">
      <c r="A55" s="6" t="s">
        <v>34</v>
      </c>
      <c r="B55" s="6" t="s">
        <v>10</v>
      </c>
      <c r="C55" s="6" t="s">
        <v>4</v>
      </c>
      <c r="D55" s="6" t="s">
        <v>4</v>
      </c>
      <c r="E55" s="6" t="s">
        <v>62</v>
      </c>
      <c r="F55" s="4">
        <f>F57+F56</f>
        <v>-2856.07</v>
      </c>
      <c r="G55" s="4">
        <f>G57+G56</f>
        <v>-63734.65</v>
      </c>
      <c r="H55" s="7">
        <f t="shared" si="1"/>
        <v>-44243.07</v>
      </c>
      <c r="I55" s="40">
        <f>I57+I56</f>
        <v>-4111.69</v>
      </c>
      <c r="J55" s="40">
        <f>J57+J56</f>
        <v>-4057.52</v>
      </c>
      <c r="K55" s="40">
        <f>K57+K56</f>
        <v>-3458.54</v>
      </c>
      <c r="L55" s="40">
        <f>L57+L56</f>
        <v>-3808.71</v>
      </c>
      <c r="M55" s="40">
        <f aca="true" t="shared" si="21" ref="M55:T55">M57+M56</f>
        <v>-3635.67</v>
      </c>
      <c r="N55" s="4">
        <f t="shared" si="21"/>
        <v>-3701.61</v>
      </c>
      <c r="O55" s="4">
        <f t="shared" si="21"/>
        <v>-3518.51</v>
      </c>
      <c r="P55" s="4">
        <f t="shared" si="21"/>
        <v>-3580.72</v>
      </c>
      <c r="Q55" s="4">
        <f t="shared" si="21"/>
        <v>-3734.14</v>
      </c>
      <c r="R55" s="4">
        <f t="shared" si="21"/>
        <v>-3560.93</v>
      </c>
      <c r="S55" s="4">
        <f t="shared" si="21"/>
        <v>-3623.15</v>
      </c>
      <c r="T55" s="4">
        <f t="shared" si="21"/>
        <v>-3451.88</v>
      </c>
    </row>
    <row r="56" spans="1:20" ht="12.75">
      <c r="A56" s="6" t="s">
        <v>34</v>
      </c>
      <c r="B56" s="6" t="s">
        <v>10</v>
      </c>
      <c r="C56" s="6" t="s">
        <v>13</v>
      </c>
      <c r="D56" s="6" t="s">
        <v>4</v>
      </c>
      <c r="E56" s="6" t="s">
        <v>63</v>
      </c>
      <c r="F56" s="4">
        <v>-2856.07</v>
      </c>
      <c r="G56" s="4">
        <v>-63734.65</v>
      </c>
      <c r="H56" s="7">
        <f t="shared" si="1"/>
        <v>-44243.07</v>
      </c>
      <c r="I56" s="40">
        <v>-4111.69</v>
      </c>
      <c r="J56" s="40">
        <v>-4057.52</v>
      </c>
      <c r="K56" s="40">
        <v>-3458.54</v>
      </c>
      <c r="L56" s="40">
        <v>-3808.71</v>
      </c>
      <c r="M56" s="40">
        <v>-3635.67</v>
      </c>
      <c r="N56" s="4">
        <v>-3701.61</v>
      </c>
      <c r="O56" s="4">
        <v>-3518.51</v>
      </c>
      <c r="P56" s="4">
        <v>-3580.72</v>
      </c>
      <c r="Q56" s="4">
        <v>-3734.14</v>
      </c>
      <c r="R56" s="4">
        <v>-3560.93</v>
      </c>
      <c r="S56" s="4">
        <v>-3623.15</v>
      </c>
      <c r="T56" s="4">
        <v>-3451.88</v>
      </c>
    </row>
    <row r="57" spans="1:20" ht="12.75">
      <c r="A57" s="6" t="s">
        <v>34</v>
      </c>
      <c r="B57" s="6" t="s">
        <v>10</v>
      </c>
      <c r="C57" s="6" t="s">
        <v>10</v>
      </c>
      <c r="D57" s="6" t="s">
        <v>4</v>
      </c>
      <c r="E57" s="6" t="s">
        <v>64</v>
      </c>
      <c r="F57" s="4"/>
      <c r="G57" s="4"/>
      <c r="H57" s="7">
        <f t="shared" si="1"/>
        <v>0</v>
      </c>
      <c r="I57" s="40"/>
      <c r="J57" s="40"/>
      <c r="K57" s="40"/>
      <c r="L57" s="40"/>
      <c r="M57" s="40"/>
      <c r="N57" s="4"/>
      <c r="O57" s="4"/>
      <c r="P57" s="4"/>
      <c r="Q57" s="4"/>
      <c r="R57" s="4"/>
      <c r="S57" s="4"/>
      <c r="T57" s="4"/>
    </row>
    <row r="58" spans="1:20" ht="12.75">
      <c r="A58" s="6">
        <v>6</v>
      </c>
      <c r="B58" s="6">
        <v>8</v>
      </c>
      <c r="C58" s="6">
        <v>0</v>
      </c>
      <c r="D58" s="6">
        <v>0</v>
      </c>
      <c r="E58" s="6" t="s">
        <v>104</v>
      </c>
      <c r="F58" s="4"/>
      <c r="G58" s="4"/>
      <c r="H58" s="7">
        <f t="shared" si="1"/>
        <v>0</v>
      </c>
      <c r="I58" s="40"/>
      <c r="J58" s="40"/>
      <c r="K58" s="40"/>
      <c r="L58" s="40"/>
      <c r="M58" s="40"/>
      <c r="N58" s="4"/>
      <c r="O58" s="4"/>
      <c r="P58" s="4"/>
      <c r="Q58" s="4"/>
      <c r="R58" s="4"/>
      <c r="S58" s="4"/>
      <c r="T58" s="4"/>
    </row>
    <row r="59" spans="1:20" ht="12.75">
      <c r="A59" s="16"/>
      <c r="B59" s="16"/>
      <c r="C59" s="16"/>
      <c r="D59" s="16"/>
      <c r="E59" s="17" t="s">
        <v>65</v>
      </c>
      <c r="F59" s="7">
        <f>F3+F15+F18+F42</f>
        <v>-85481.66999999998</v>
      </c>
      <c r="G59" s="7">
        <f>G3+G15+G18+G42</f>
        <v>-17655.629999999976</v>
      </c>
      <c r="H59" s="7">
        <f t="shared" si="1"/>
        <v>-123097.20999999999</v>
      </c>
      <c r="I59" s="43">
        <f>I3+I15+I18+I42</f>
        <v>1642.7799999999988</v>
      </c>
      <c r="J59" s="43">
        <f>J3+J15+J18+J42</f>
        <v>-10875.220000000001</v>
      </c>
      <c r="K59" s="43">
        <f>K3+K15+K18+K42</f>
        <v>-9253.059999999998</v>
      </c>
      <c r="L59" s="43">
        <f>L3+L15+L18+L42</f>
        <v>1254.3400000000001</v>
      </c>
      <c r="M59" s="43">
        <f aca="true" t="shared" si="22" ref="M59:T59">M3+M15+M18+M42</f>
        <v>5002.860000000001</v>
      </c>
      <c r="N59" s="7">
        <f t="shared" si="22"/>
        <v>-19082.55</v>
      </c>
      <c r="O59" s="7">
        <f t="shared" si="22"/>
        <v>-11591.890000000007</v>
      </c>
      <c r="P59" s="7">
        <f t="shared" si="22"/>
        <v>5440.380000000001</v>
      </c>
      <c r="Q59" s="7">
        <f t="shared" si="22"/>
        <v>-52963.59999999999</v>
      </c>
      <c r="R59" s="7">
        <f t="shared" si="22"/>
        <v>-1740.449999999997</v>
      </c>
      <c r="S59" s="7">
        <f t="shared" si="22"/>
        <v>-10371.870000000003</v>
      </c>
      <c r="T59" s="7">
        <f t="shared" si="22"/>
        <v>-20558.929999999997</v>
      </c>
    </row>
    <row r="60" spans="5:9" ht="12.75">
      <c r="E60" s="19" t="s">
        <v>66</v>
      </c>
      <c r="F60" s="20"/>
      <c r="G60" s="20"/>
      <c r="H60" s="21">
        <f t="shared" si="1"/>
        <v>0</v>
      </c>
      <c r="I60" s="44"/>
    </row>
    <row r="61" spans="1:20" s="54" customFormat="1" ht="26.25">
      <c r="A61" s="52"/>
      <c r="B61" s="52"/>
      <c r="C61" s="52"/>
      <c r="D61" s="52"/>
      <c r="E61" s="53"/>
      <c r="F61" s="3" t="s">
        <v>0</v>
      </c>
      <c r="G61" s="3" t="s">
        <v>1</v>
      </c>
      <c r="H61" s="3" t="s">
        <v>265</v>
      </c>
      <c r="I61" s="45" t="s">
        <v>89</v>
      </c>
      <c r="J61" s="45" t="s">
        <v>90</v>
      </c>
      <c r="K61" s="45" t="s">
        <v>91</v>
      </c>
      <c r="L61" s="45" t="s">
        <v>92</v>
      </c>
      <c r="M61" s="45" t="s">
        <v>93</v>
      </c>
      <c r="N61" s="5" t="s">
        <v>246</v>
      </c>
      <c r="O61" s="5" t="s">
        <v>247</v>
      </c>
      <c r="P61" s="5" t="s">
        <v>248</v>
      </c>
      <c r="Q61" s="5" t="s">
        <v>97</v>
      </c>
      <c r="R61" s="5" t="s">
        <v>98</v>
      </c>
      <c r="S61" s="5" t="s">
        <v>99</v>
      </c>
      <c r="T61" s="5" t="s">
        <v>271</v>
      </c>
    </row>
    <row r="62" spans="5:20" ht="12.75">
      <c r="E62" s="18" t="s">
        <v>68</v>
      </c>
      <c r="F62" s="112"/>
      <c r="G62" s="112"/>
      <c r="H62" s="21">
        <f>SUM(I62:T62)</f>
        <v>50367.25</v>
      </c>
      <c r="I62" s="44">
        <f>SUM(I63:I71)</f>
        <v>4570.8</v>
      </c>
      <c r="J62" s="44">
        <f>SUM(J63:J71)</f>
        <v>4516.8</v>
      </c>
      <c r="K62" s="44">
        <f>SUM(K63:K71)</f>
        <v>4678.2</v>
      </c>
      <c r="L62" s="44">
        <f>SUM(L63:L71)</f>
        <v>4544.25</v>
      </c>
      <c r="M62" s="44">
        <f aca="true" t="shared" si="23" ref="M62:T62">SUM(M63:M71)</f>
        <v>4758.05</v>
      </c>
      <c r="N62">
        <f t="shared" si="23"/>
        <v>3501.25</v>
      </c>
      <c r="O62">
        <f t="shared" si="23"/>
        <v>7412.400000000001</v>
      </c>
      <c r="P62">
        <f t="shared" si="23"/>
        <v>1111.6</v>
      </c>
      <c r="Q62">
        <f t="shared" si="23"/>
        <v>2191.55</v>
      </c>
      <c r="R62">
        <f t="shared" si="23"/>
        <v>3416.6000000000004</v>
      </c>
      <c r="S62">
        <f t="shared" si="23"/>
        <v>3685.35</v>
      </c>
      <c r="T62">
        <f t="shared" si="23"/>
        <v>5980.4</v>
      </c>
    </row>
    <row r="63" spans="1:20" s="25" customFormat="1" ht="11.25">
      <c r="A63" s="22"/>
      <c r="B63" s="22"/>
      <c r="C63" s="22"/>
      <c r="D63" s="22"/>
      <c r="E63" s="22" t="s">
        <v>69</v>
      </c>
      <c r="F63" s="113"/>
      <c r="G63" s="113"/>
      <c r="H63" s="23">
        <f>SUM(I63:T63)</f>
        <v>40430.149999999994</v>
      </c>
      <c r="I63" s="46">
        <f>2070+1089+660+751.8</f>
        <v>4570.8</v>
      </c>
      <c r="J63" s="46">
        <f>2070+1089+606+751.8</f>
        <v>4516.8</v>
      </c>
      <c r="K63" s="46">
        <f>2070+1089+660+859.2</f>
        <v>4678.2</v>
      </c>
      <c r="L63" s="46">
        <f>2070+1089+660+725.25</f>
        <v>4544.25</v>
      </c>
      <c r="M63" s="46">
        <f>1089+660+725.25</f>
        <v>2474.25</v>
      </c>
      <c r="N63" s="24">
        <v>2841.25</v>
      </c>
      <c r="O63" s="24">
        <v>1793.05</v>
      </c>
      <c r="P63" s="24">
        <v>1111.6</v>
      </c>
      <c r="Q63" s="24">
        <v>2191.55</v>
      </c>
      <c r="R63" s="24">
        <v>3298.55</v>
      </c>
      <c r="S63" s="24">
        <v>3685.35</v>
      </c>
      <c r="T63" s="24">
        <v>4724.5</v>
      </c>
    </row>
    <row r="64" spans="1:20" s="25" customFormat="1" ht="11.25">
      <c r="A64" s="22"/>
      <c r="B64" s="22"/>
      <c r="C64" s="22"/>
      <c r="D64" s="22"/>
      <c r="E64" s="26" t="s">
        <v>70</v>
      </c>
      <c r="F64" s="113"/>
      <c r="G64" s="113"/>
      <c r="H64" s="23">
        <f aca="true" t="shared" si="24" ref="H64:H69">SUM(I64:T64)</f>
        <v>780</v>
      </c>
      <c r="I64" s="47"/>
      <c r="J64" s="47"/>
      <c r="K64" s="47"/>
      <c r="L64" s="47"/>
      <c r="M64" s="47"/>
      <c r="N64" s="27">
        <v>660</v>
      </c>
      <c r="O64" s="27">
        <v>120</v>
      </c>
      <c r="P64" s="27"/>
      <c r="Q64" s="27"/>
      <c r="R64" s="27"/>
      <c r="S64" s="27"/>
      <c r="T64" s="27"/>
    </row>
    <row r="65" spans="1:20" s="25" customFormat="1" ht="11.25">
      <c r="A65" s="22"/>
      <c r="B65" s="22"/>
      <c r="C65" s="22"/>
      <c r="D65" s="22"/>
      <c r="E65" s="26" t="s">
        <v>71</v>
      </c>
      <c r="F65" s="26"/>
      <c r="G65" s="114"/>
      <c r="H65" s="23">
        <f t="shared" si="24"/>
        <v>5124</v>
      </c>
      <c r="I65" s="47"/>
      <c r="J65" s="47"/>
      <c r="K65" s="47"/>
      <c r="L65" s="47"/>
      <c r="M65" s="47"/>
      <c r="N65" s="27"/>
      <c r="O65" s="27">
        <v>3750.05</v>
      </c>
      <c r="P65" s="27"/>
      <c r="Q65" s="27"/>
      <c r="R65" s="27">
        <v>118.05</v>
      </c>
      <c r="S65" s="27"/>
      <c r="T65" s="27">
        <f>410.7+845.2</f>
        <v>1255.9</v>
      </c>
    </row>
    <row r="66" spans="1:20" s="25" customFormat="1" ht="11.25">
      <c r="A66" s="22"/>
      <c r="B66" s="22"/>
      <c r="C66" s="22"/>
      <c r="D66" s="22"/>
      <c r="E66" s="26" t="s">
        <v>115</v>
      </c>
      <c r="F66" s="26"/>
      <c r="G66" s="114"/>
      <c r="H66" s="23">
        <f t="shared" si="24"/>
        <v>4033.1000000000004</v>
      </c>
      <c r="I66" s="47"/>
      <c r="J66" s="47"/>
      <c r="K66" s="47"/>
      <c r="L66" s="47"/>
      <c r="M66" s="47">
        <f>2069.65+214.15</f>
        <v>2283.8</v>
      </c>
      <c r="N66" s="27"/>
      <c r="O66" s="27">
        <v>1749.3</v>
      </c>
      <c r="P66" s="27"/>
      <c r="Q66" s="27"/>
      <c r="R66" s="27"/>
      <c r="S66" s="27"/>
      <c r="T66" s="27"/>
    </row>
    <row r="67" spans="1:20" s="25" customFormat="1" ht="11.25">
      <c r="A67" s="22"/>
      <c r="B67" s="22"/>
      <c r="C67" s="22"/>
      <c r="D67" s="22"/>
      <c r="E67" s="26"/>
      <c r="F67" s="26"/>
      <c r="G67" s="114"/>
      <c r="H67" s="23">
        <f t="shared" si="24"/>
        <v>0</v>
      </c>
      <c r="I67" s="47"/>
      <c r="J67" s="47"/>
      <c r="K67" s="47"/>
      <c r="L67" s="47"/>
      <c r="M67" s="47"/>
      <c r="N67" s="27"/>
      <c r="O67" s="27"/>
      <c r="P67" s="27"/>
      <c r="Q67" s="27"/>
      <c r="R67" s="27"/>
      <c r="S67" s="27"/>
      <c r="T67" s="27"/>
    </row>
    <row r="68" spans="1:20" s="25" customFormat="1" ht="11.25">
      <c r="A68" s="22"/>
      <c r="B68" s="22"/>
      <c r="C68" s="22"/>
      <c r="D68" s="22"/>
      <c r="E68" s="26"/>
      <c r="F68" s="26"/>
      <c r="G68" s="114"/>
      <c r="H68" s="23">
        <f t="shared" si="24"/>
        <v>0</v>
      </c>
      <c r="I68" s="47"/>
      <c r="J68" s="47"/>
      <c r="K68" s="47"/>
      <c r="L68" s="47"/>
      <c r="M68" s="47"/>
      <c r="N68" s="27"/>
      <c r="O68" s="27"/>
      <c r="P68" s="27"/>
      <c r="Q68" s="27"/>
      <c r="R68" s="27"/>
      <c r="S68" s="27"/>
      <c r="T68" s="27"/>
    </row>
    <row r="69" spans="1:20" s="25" customFormat="1" ht="11.25">
      <c r="A69" s="22"/>
      <c r="B69" s="22"/>
      <c r="C69" s="22"/>
      <c r="D69" s="22"/>
      <c r="E69" s="26" t="s">
        <v>72</v>
      </c>
      <c r="F69" s="26"/>
      <c r="G69" s="26"/>
      <c r="H69" s="23">
        <f t="shared" si="24"/>
        <v>0</v>
      </c>
      <c r="I69" s="47"/>
      <c r="J69" s="47"/>
      <c r="K69" s="47"/>
      <c r="L69" s="47"/>
      <c r="M69" s="47"/>
      <c r="N69" s="27"/>
      <c r="O69" s="27"/>
      <c r="P69" s="27"/>
      <c r="Q69" s="27"/>
      <c r="R69" s="27"/>
      <c r="S69" s="27"/>
      <c r="T69" s="27"/>
    </row>
    <row r="70" spans="1:20" s="25" customFormat="1" ht="12.75">
      <c r="A70" s="22"/>
      <c r="B70" s="22"/>
      <c r="C70" s="22"/>
      <c r="D70" s="22"/>
      <c r="E70" s="26"/>
      <c r="F70" s="26"/>
      <c r="G70" s="26"/>
      <c r="H70" s="21">
        <f>SUM(I70:T70)</f>
        <v>0</v>
      </c>
      <c r="I70" s="47"/>
      <c r="J70" s="47"/>
      <c r="K70" s="47"/>
      <c r="L70" s="47"/>
      <c r="M70" s="47"/>
      <c r="N70" s="27"/>
      <c r="O70" s="27"/>
      <c r="P70" s="27"/>
      <c r="Q70" s="27"/>
      <c r="R70" s="27"/>
      <c r="S70" s="27"/>
      <c r="T70" s="27"/>
    </row>
    <row r="71" spans="5:20" ht="12.75">
      <c r="E71" s="26"/>
      <c r="F71" s="26"/>
      <c r="G71" s="26"/>
      <c r="H71" s="21">
        <f>SUM(I71:T71)</f>
        <v>0</v>
      </c>
      <c r="I71" s="47"/>
      <c r="J71" s="47"/>
      <c r="K71" s="47"/>
      <c r="L71" s="47"/>
      <c r="M71" s="47"/>
      <c r="N71" s="27"/>
      <c r="O71" s="27"/>
      <c r="P71" s="27"/>
      <c r="Q71" s="27"/>
      <c r="R71" s="27"/>
      <c r="S71" s="27"/>
      <c r="T71" s="27"/>
    </row>
    <row r="72" spans="5:20" ht="12.75">
      <c r="E72" s="28" t="s">
        <v>73</v>
      </c>
      <c r="F72" s="28"/>
      <c r="G72" s="28"/>
      <c r="H72" s="21">
        <f>SUM(I72:T72)</f>
        <v>16583.805500000002</v>
      </c>
      <c r="I72" s="24">
        <f aca="true" t="shared" si="25" ref="I72:P72">I62*33/100</f>
        <v>1508.364</v>
      </c>
      <c r="J72" s="24">
        <f t="shared" si="25"/>
        <v>1490.5439999999999</v>
      </c>
      <c r="K72" s="24">
        <f t="shared" si="25"/>
        <v>1543.806</v>
      </c>
      <c r="L72" s="24">
        <f t="shared" si="25"/>
        <v>1499.6025</v>
      </c>
      <c r="M72" s="24">
        <f t="shared" si="25"/>
        <v>1570.1565</v>
      </c>
      <c r="N72" s="24">
        <f t="shared" si="25"/>
        <v>1155.4125</v>
      </c>
      <c r="O72" s="24">
        <f t="shared" si="25"/>
        <v>2446.092</v>
      </c>
      <c r="P72" s="24">
        <f t="shared" si="25"/>
        <v>366.828</v>
      </c>
      <c r="Q72" s="24">
        <v>724</v>
      </c>
      <c r="R72" s="24">
        <v>1089</v>
      </c>
      <c r="S72" s="24">
        <v>1216</v>
      </c>
      <c r="T72" s="24">
        <v>1974</v>
      </c>
    </row>
    <row r="73" spans="5:20" ht="12.75">
      <c r="E73" s="28" t="s">
        <v>74</v>
      </c>
      <c r="F73" s="28"/>
      <c r="G73" s="28"/>
      <c r="H73" s="21">
        <f>SUM(I73:T73)</f>
        <v>701.3069</v>
      </c>
      <c r="I73" s="24">
        <f aca="true" t="shared" si="26" ref="I73:P73">1.4*I62/100</f>
        <v>63.9912</v>
      </c>
      <c r="J73" s="24">
        <f t="shared" si="26"/>
        <v>63.23519999999999</v>
      </c>
      <c r="K73" s="24">
        <f t="shared" si="26"/>
        <v>65.4948</v>
      </c>
      <c r="L73" s="24">
        <f t="shared" si="26"/>
        <v>63.619499999999995</v>
      </c>
      <c r="M73" s="24">
        <f t="shared" si="26"/>
        <v>66.61269999999999</v>
      </c>
      <c r="N73" s="24">
        <f t="shared" si="26"/>
        <v>49.0175</v>
      </c>
      <c r="O73" s="24">
        <f t="shared" si="26"/>
        <v>103.7736</v>
      </c>
      <c r="P73" s="24">
        <f t="shared" si="26"/>
        <v>15.562399999999998</v>
      </c>
      <c r="Q73" s="24">
        <v>30</v>
      </c>
      <c r="R73" s="24">
        <v>46</v>
      </c>
      <c r="S73" s="24">
        <v>51</v>
      </c>
      <c r="T73" s="24">
        <v>83</v>
      </c>
    </row>
    <row r="74" spans="6:20" ht="13.5" customHeight="1">
      <c r="F74" s="29"/>
      <c r="G74" s="29"/>
      <c r="H74" s="21">
        <f>SUM(I74:T74)</f>
        <v>67652.3624</v>
      </c>
      <c r="I74" s="24">
        <f aca="true" t="shared" si="27" ref="I74:T74">I62+I72+I73</f>
        <v>6143.155200000001</v>
      </c>
      <c r="J74" s="24">
        <f t="shared" si="27"/>
        <v>6070.5792</v>
      </c>
      <c r="K74" s="24">
        <f t="shared" si="27"/>
        <v>6287.5008</v>
      </c>
      <c r="L74" s="24">
        <f t="shared" si="27"/>
        <v>6107.472</v>
      </c>
      <c r="M74" s="24">
        <f t="shared" si="27"/>
        <v>6394.8192</v>
      </c>
      <c r="N74" s="24">
        <f t="shared" si="27"/>
        <v>4705.68</v>
      </c>
      <c r="O74" s="24">
        <f t="shared" si="27"/>
        <v>9962.2656</v>
      </c>
      <c r="P74" s="24">
        <f t="shared" si="27"/>
        <v>1493.9904</v>
      </c>
      <c r="Q74" s="24">
        <f t="shared" si="27"/>
        <v>2945.55</v>
      </c>
      <c r="R74" s="24">
        <f t="shared" si="27"/>
        <v>4551.6</v>
      </c>
      <c r="S74" s="24">
        <f t="shared" si="27"/>
        <v>4952.35</v>
      </c>
      <c r="T74" s="24">
        <f t="shared" si="27"/>
        <v>8037.4</v>
      </c>
    </row>
    <row r="75" spans="5:20" ht="12.75">
      <c r="E75" s="30" t="s">
        <v>75</v>
      </c>
      <c r="H75" s="21" t="s">
        <v>76</v>
      </c>
      <c r="I75" s="48">
        <v>19.07</v>
      </c>
      <c r="J75" s="48">
        <v>19.07</v>
      </c>
      <c r="K75" s="48">
        <v>19.07</v>
      </c>
      <c r="L75" s="48">
        <v>19.07</v>
      </c>
      <c r="M75" s="48">
        <v>19.07</v>
      </c>
      <c r="N75" s="48">
        <v>19.07</v>
      </c>
      <c r="O75" s="48">
        <v>19.07</v>
      </c>
      <c r="P75" s="48">
        <v>19.07</v>
      </c>
      <c r="Q75" s="48">
        <f>Q78/Q77</f>
        <v>18.927006751687923</v>
      </c>
      <c r="R75" s="48">
        <f>R78/R77</f>
        <v>19.038600823045268</v>
      </c>
      <c r="S75" s="48">
        <v>19.07</v>
      </c>
      <c r="T75" s="48">
        <v>19.07</v>
      </c>
    </row>
    <row r="76" spans="1:20" ht="18">
      <c r="A76" s="1"/>
      <c r="B76" s="1"/>
      <c r="C76" s="1"/>
      <c r="D76" s="1"/>
      <c r="E76" s="2"/>
      <c r="H76" s="3" t="s">
        <v>67</v>
      </c>
      <c r="I76" s="40" t="s">
        <v>89</v>
      </c>
      <c r="J76" s="40" t="s">
        <v>90</v>
      </c>
      <c r="K76" s="40" t="s">
        <v>91</v>
      </c>
      <c r="L76" s="45" t="s">
        <v>92</v>
      </c>
      <c r="M76" s="40" t="s">
        <v>93</v>
      </c>
      <c r="N76" s="4" t="s">
        <v>94</v>
      </c>
      <c r="O76" s="4" t="s">
        <v>95</v>
      </c>
      <c r="P76" s="5" t="s">
        <v>96</v>
      </c>
      <c r="Q76" s="4" t="s">
        <v>97</v>
      </c>
      <c r="R76" s="4" t="s">
        <v>98</v>
      </c>
      <c r="S76" s="4" t="s">
        <v>99</v>
      </c>
      <c r="T76" s="5" t="s">
        <v>100</v>
      </c>
    </row>
    <row r="77" spans="1:20" ht="12.75">
      <c r="A77" s="1"/>
      <c r="B77" s="1"/>
      <c r="C77" s="1"/>
      <c r="D77" s="1"/>
      <c r="E77" s="1" t="s">
        <v>117</v>
      </c>
      <c r="H77" s="7">
        <f aca="true" t="shared" si="28" ref="H77:H96">SUM(I77:T77)</f>
        <v>15588.32</v>
      </c>
      <c r="I77" s="32">
        <v>1300</v>
      </c>
      <c r="J77" s="32">
        <v>1213</v>
      </c>
      <c r="K77" s="32">
        <v>1310</v>
      </c>
      <c r="L77" s="32">
        <v>1321</v>
      </c>
      <c r="M77" s="32">
        <v>1523</v>
      </c>
      <c r="N77" s="1">
        <v>1247</v>
      </c>
      <c r="O77" s="1">
        <v>1429.45</v>
      </c>
      <c r="P77" s="1">
        <v>1276.87</v>
      </c>
      <c r="Q77" s="1">
        <v>1333</v>
      </c>
      <c r="R77" s="1">
        <v>1215</v>
      </c>
      <c r="S77" s="1">
        <v>1183</v>
      </c>
      <c r="T77" s="1">
        <v>1237</v>
      </c>
    </row>
    <row r="78" spans="1:20" ht="12.75">
      <c r="A78" s="1"/>
      <c r="B78" s="1"/>
      <c r="C78" s="1"/>
      <c r="D78" s="1"/>
      <c r="E78" s="32" t="s">
        <v>78</v>
      </c>
      <c r="H78" s="7">
        <f t="shared" si="28"/>
        <v>291077.99</v>
      </c>
      <c r="I78" s="40">
        <v>24790.95</v>
      </c>
      <c r="J78" s="40">
        <v>23131.85</v>
      </c>
      <c r="K78" s="40">
        <v>24981.8</v>
      </c>
      <c r="L78" s="40">
        <v>25191.35</v>
      </c>
      <c r="M78" s="40">
        <v>28509.75</v>
      </c>
      <c r="N78" s="4">
        <v>22598</v>
      </c>
      <c r="O78" s="4">
        <v>24191.25</v>
      </c>
      <c r="P78" s="4">
        <v>23172.4</v>
      </c>
      <c r="Q78" s="4">
        <v>25229.7</v>
      </c>
      <c r="R78" s="4">
        <v>23131.9</v>
      </c>
      <c r="S78" s="4">
        <v>22559.6</v>
      </c>
      <c r="T78" s="4">
        <v>23589.44</v>
      </c>
    </row>
    <row r="79" spans="1:20" ht="12.75">
      <c r="A79" s="1"/>
      <c r="B79" s="1"/>
      <c r="C79" s="1"/>
      <c r="D79" s="1"/>
      <c r="E79" s="32" t="s">
        <v>141</v>
      </c>
      <c r="H79" s="7">
        <f t="shared" si="28"/>
        <v>400</v>
      </c>
      <c r="I79" s="40">
        <v>33</v>
      </c>
      <c r="J79" s="40">
        <v>33</v>
      </c>
      <c r="K79" s="40">
        <v>33</v>
      </c>
      <c r="L79" s="40">
        <v>33</v>
      </c>
      <c r="M79" s="40">
        <v>34</v>
      </c>
      <c r="N79" s="4">
        <v>34</v>
      </c>
      <c r="O79" s="4">
        <v>34</v>
      </c>
      <c r="P79" s="4">
        <v>34</v>
      </c>
      <c r="Q79" s="4">
        <v>33</v>
      </c>
      <c r="R79" s="4">
        <v>33</v>
      </c>
      <c r="S79" s="4">
        <v>33</v>
      </c>
      <c r="T79" s="4">
        <v>33</v>
      </c>
    </row>
    <row r="80" spans="1:20" ht="12.75">
      <c r="A80" s="1"/>
      <c r="B80" s="1"/>
      <c r="C80" s="1"/>
      <c r="D80" s="1"/>
      <c r="E80" s="32" t="s">
        <v>142</v>
      </c>
      <c r="H80" s="7">
        <f t="shared" si="28"/>
        <v>16627.65</v>
      </c>
      <c r="I80" s="40">
        <v>1375.75</v>
      </c>
      <c r="J80" s="40">
        <v>1375.75</v>
      </c>
      <c r="K80" s="40">
        <v>1375.75</v>
      </c>
      <c r="L80" s="40">
        <v>1375.75</v>
      </c>
      <c r="M80" s="40">
        <v>1392.7</v>
      </c>
      <c r="N80" s="4">
        <v>1392.7</v>
      </c>
      <c r="O80" s="4">
        <v>1392.7</v>
      </c>
      <c r="P80" s="4">
        <v>1392.7</v>
      </c>
      <c r="Q80" s="4">
        <v>1375.75</v>
      </c>
      <c r="R80" s="4">
        <v>1392.7</v>
      </c>
      <c r="S80" s="4">
        <v>1392.7</v>
      </c>
      <c r="T80" s="4">
        <v>1392.7</v>
      </c>
    </row>
    <row r="81" spans="1:20" ht="12.75">
      <c r="A81" s="1"/>
      <c r="B81" s="1"/>
      <c r="C81" s="1"/>
      <c r="D81" s="1"/>
      <c r="E81" s="32" t="s">
        <v>143</v>
      </c>
      <c r="H81" s="7">
        <f t="shared" si="28"/>
        <v>4</v>
      </c>
      <c r="I81" s="40"/>
      <c r="J81" s="40"/>
      <c r="K81" s="40">
        <v>1</v>
      </c>
      <c r="L81" s="40"/>
      <c r="M81" s="40"/>
      <c r="N81" s="4">
        <v>1</v>
      </c>
      <c r="O81" s="4"/>
      <c r="P81" s="4"/>
      <c r="Q81" s="4">
        <v>1</v>
      </c>
      <c r="R81" s="4"/>
      <c r="S81" s="4"/>
      <c r="T81" s="4">
        <v>1</v>
      </c>
    </row>
    <row r="82" spans="1:20" ht="12.75">
      <c r="A82" s="1"/>
      <c r="B82" s="1"/>
      <c r="C82" s="1"/>
      <c r="D82" s="1"/>
      <c r="E82" s="32" t="s">
        <v>144</v>
      </c>
      <c r="H82" s="7">
        <f t="shared" si="28"/>
        <v>321.95</v>
      </c>
      <c r="I82" s="40"/>
      <c r="J82" s="40"/>
      <c r="K82" s="40">
        <v>76.25</v>
      </c>
      <c r="L82" s="40"/>
      <c r="M82" s="40"/>
      <c r="N82" s="4">
        <v>76.25</v>
      </c>
      <c r="O82" s="4"/>
      <c r="P82" s="4"/>
      <c r="Q82" s="4">
        <v>93.2</v>
      </c>
      <c r="R82" s="4"/>
      <c r="S82" s="4"/>
      <c r="T82" s="4">
        <v>76.25</v>
      </c>
    </row>
    <row r="83" spans="1:20" ht="18">
      <c r="A83" s="1"/>
      <c r="B83" s="1"/>
      <c r="C83" s="1"/>
      <c r="D83" s="1"/>
      <c r="E83" s="33" t="s">
        <v>136</v>
      </c>
      <c r="F83" s="2"/>
      <c r="G83" s="2"/>
      <c r="H83" s="7">
        <f t="shared" si="28"/>
        <v>0</v>
      </c>
      <c r="I83" s="38"/>
      <c r="J83" s="38"/>
      <c r="K83" s="38"/>
      <c r="L83" s="38"/>
      <c r="M83" s="38"/>
      <c r="N83" s="13"/>
      <c r="O83" s="13"/>
      <c r="P83" s="13"/>
      <c r="Q83" s="13"/>
      <c r="R83" s="13"/>
      <c r="S83" s="13"/>
      <c r="T83" s="13"/>
    </row>
    <row r="84" spans="1:20" ht="12.75">
      <c r="A84" s="1"/>
      <c r="B84" s="1"/>
      <c r="C84" s="1"/>
      <c r="D84" s="1"/>
      <c r="E84" s="32" t="s">
        <v>80</v>
      </c>
      <c r="H84" s="7">
        <f t="shared" si="28"/>
        <v>0</v>
      </c>
      <c r="I84" s="38"/>
      <c r="J84" s="38"/>
      <c r="K84" s="38"/>
      <c r="L84" s="38"/>
      <c r="M84" s="38"/>
      <c r="N84" s="13"/>
      <c r="O84" s="13"/>
      <c r="P84" s="13"/>
      <c r="Q84" s="13"/>
      <c r="R84" s="13"/>
      <c r="S84" s="13"/>
      <c r="T84" s="13"/>
    </row>
    <row r="85" spans="1:20" ht="12.75">
      <c r="A85" s="1"/>
      <c r="B85" s="1"/>
      <c r="C85" s="1"/>
      <c r="D85" s="1"/>
      <c r="E85" s="32" t="s">
        <v>81</v>
      </c>
      <c r="F85" s="22"/>
      <c r="G85" s="22"/>
      <c r="H85" s="7">
        <f t="shared" si="28"/>
        <v>0</v>
      </c>
      <c r="I85" s="40">
        <f>I83*I84</f>
        <v>0</v>
      </c>
      <c r="J85" s="40">
        <f>J83*J84</f>
        <v>0</v>
      </c>
      <c r="K85" s="40">
        <f>K83*K84</f>
        <v>0</v>
      </c>
      <c r="L85" s="40">
        <f>L83*L84</f>
        <v>0</v>
      </c>
      <c r="M85" s="40">
        <f aca="true" t="shared" si="29" ref="M85:T85">M83*M84</f>
        <v>0</v>
      </c>
      <c r="N85" s="4">
        <f t="shared" si="29"/>
        <v>0</v>
      </c>
      <c r="O85" s="4">
        <f t="shared" si="29"/>
        <v>0</v>
      </c>
      <c r="P85" s="4">
        <f t="shared" si="29"/>
        <v>0</v>
      </c>
      <c r="Q85" s="4">
        <f t="shared" si="29"/>
        <v>0</v>
      </c>
      <c r="R85" s="4">
        <f t="shared" si="29"/>
        <v>0</v>
      </c>
      <c r="S85" s="4">
        <f t="shared" si="29"/>
        <v>0</v>
      </c>
      <c r="T85" s="4">
        <f t="shared" si="29"/>
        <v>0</v>
      </c>
    </row>
    <row r="86" spans="1:20" ht="12.75">
      <c r="A86" s="1"/>
      <c r="B86" s="1"/>
      <c r="C86" s="1"/>
      <c r="D86" s="1"/>
      <c r="E86" s="33" t="s">
        <v>137</v>
      </c>
      <c r="F86" s="22"/>
      <c r="G86" s="22"/>
      <c r="H86" s="7">
        <f t="shared" si="28"/>
        <v>0</v>
      </c>
      <c r="I86" s="38"/>
      <c r="J86" s="38"/>
      <c r="K86" s="38"/>
      <c r="L86" s="38"/>
      <c r="M86" s="38"/>
      <c r="N86" s="13"/>
      <c r="O86" s="13"/>
      <c r="P86" s="13"/>
      <c r="Q86" s="13"/>
      <c r="R86" s="13"/>
      <c r="S86" s="13"/>
      <c r="T86" s="13"/>
    </row>
    <row r="87" spans="1:20" ht="12.75">
      <c r="A87" s="1"/>
      <c r="B87" s="1"/>
      <c r="C87" s="1"/>
      <c r="D87" s="1"/>
      <c r="E87" s="32" t="s">
        <v>101</v>
      </c>
      <c r="F87" s="26"/>
      <c r="G87" s="26"/>
      <c r="H87" s="7">
        <f t="shared" si="28"/>
        <v>0</v>
      </c>
      <c r="I87" s="32"/>
      <c r="J87" s="32"/>
      <c r="K87" s="32"/>
      <c r="L87" s="32"/>
      <c r="M87" s="32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32" t="s">
        <v>81</v>
      </c>
      <c r="F88" s="26"/>
      <c r="G88" s="26"/>
      <c r="H88" s="7">
        <f t="shared" si="28"/>
        <v>0</v>
      </c>
      <c r="I88" s="40">
        <f>I86*I87</f>
        <v>0</v>
      </c>
      <c r="J88" s="40">
        <f>J86*J87</f>
        <v>0</v>
      </c>
      <c r="K88" s="40">
        <f>K86*K87</f>
        <v>0</v>
      </c>
      <c r="L88" s="40">
        <f>L86*L87</f>
        <v>0</v>
      </c>
      <c r="M88" s="40">
        <f aca="true" t="shared" si="30" ref="M88:T88">M86*M87</f>
        <v>0</v>
      </c>
      <c r="N88" s="4">
        <f t="shared" si="30"/>
        <v>0</v>
      </c>
      <c r="O88" s="4">
        <f t="shared" si="30"/>
        <v>0</v>
      </c>
      <c r="P88" s="4">
        <f t="shared" si="30"/>
        <v>0</v>
      </c>
      <c r="Q88" s="4">
        <f t="shared" si="30"/>
        <v>0</v>
      </c>
      <c r="R88" s="4">
        <f t="shared" si="30"/>
        <v>0</v>
      </c>
      <c r="S88" s="4">
        <f t="shared" si="30"/>
        <v>0</v>
      </c>
      <c r="T88" s="4">
        <f t="shared" si="30"/>
        <v>0</v>
      </c>
    </row>
    <row r="89" spans="6:9" ht="12.75">
      <c r="F89" s="26"/>
      <c r="G89" s="26" t="s">
        <v>83</v>
      </c>
      <c r="H89" s="7">
        <f t="shared" si="28"/>
        <v>0</v>
      </c>
      <c r="I89" s="44"/>
    </row>
    <row r="90" spans="1:20" ht="18">
      <c r="A90" s="1"/>
      <c r="B90" s="1"/>
      <c r="C90" s="1"/>
      <c r="D90" s="1"/>
      <c r="E90" s="2"/>
      <c r="H90" s="3">
        <f t="shared" si="28"/>
        <v>0</v>
      </c>
      <c r="I90" s="40" t="s">
        <v>89</v>
      </c>
      <c r="J90" s="40" t="s">
        <v>90</v>
      </c>
      <c r="K90" s="40" t="s">
        <v>91</v>
      </c>
      <c r="L90" s="45" t="s">
        <v>92</v>
      </c>
      <c r="M90" s="40" t="s">
        <v>93</v>
      </c>
      <c r="N90" s="4" t="s">
        <v>94</v>
      </c>
      <c r="O90" s="4" t="s">
        <v>95</v>
      </c>
      <c r="P90" s="5" t="s">
        <v>96</v>
      </c>
      <c r="Q90" s="4" t="s">
        <v>97</v>
      </c>
      <c r="R90" s="4" t="s">
        <v>98</v>
      </c>
      <c r="S90" s="4" t="s">
        <v>99</v>
      </c>
      <c r="T90" s="5" t="s">
        <v>100</v>
      </c>
    </row>
    <row r="91" spans="5:20" ht="12.75">
      <c r="E91" s="18" t="s">
        <v>139</v>
      </c>
      <c r="H91" s="21">
        <f t="shared" si="28"/>
        <v>19031.58</v>
      </c>
      <c r="I91" s="44">
        <f>SUM(I92:I97)</f>
        <v>930.28</v>
      </c>
      <c r="J91" s="44">
        <f>SUM(J92:J97)</f>
        <v>1010.74</v>
      </c>
      <c r="K91" s="44">
        <f>SUM(K92:K97)</f>
        <v>1455.79</v>
      </c>
      <c r="L91" s="44">
        <f>SUM(L92:L97)</f>
        <v>1507.44</v>
      </c>
      <c r="M91" s="44">
        <f aca="true" t="shared" si="31" ref="M91:T91">SUM(M92:M97)</f>
        <v>962.6700000000001</v>
      </c>
      <c r="N91">
        <f t="shared" si="31"/>
        <v>2645.65</v>
      </c>
      <c r="O91">
        <f t="shared" si="31"/>
        <v>1954.88</v>
      </c>
      <c r="P91">
        <f t="shared" si="31"/>
        <v>961</v>
      </c>
      <c r="Q91">
        <f t="shared" si="31"/>
        <v>2129.1299999999997</v>
      </c>
      <c r="R91">
        <f t="shared" si="31"/>
        <v>2167.32</v>
      </c>
      <c r="S91">
        <f t="shared" si="31"/>
        <v>1582.75</v>
      </c>
      <c r="T91">
        <f t="shared" si="31"/>
        <v>1723.9299999999998</v>
      </c>
    </row>
    <row r="92" spans="1:20" s="25" customFormat="1" ht="12.75">
      <c r="A92" s="22"/>
      <c r="B92" s="22"/>
      <c r="C92" s="22"/>
      <c r="D92" s="22"/>
      <c r="E92" s="22" t="s">
        <v>138</v>
      </c>
      <c r="F92" s="18"/>
      <c r="G92" s="18"/>
      <c r="H92" s="23">
        <f t="shared" si="28"/>
        <v>3884.5199999999995</v>
      </c>
      <c r="I92" s="49"/>
      <c r="J92" s="49"/>
      <c r="K92" s="49">
        <f>335.75+298.56</f>
        <v>634.31</v>
      </c>
      <c r="L92" s="49"/>
      <c r="M92" s="49"/>
      <c r="N92" s="25">
        <v>691.8</v>
      </c>
      <c r="O92" s="25">
        <v>691.71</v>
      </c>
      <c r="P92" s="25">
        <v>691.61</v>
      </c>
      <c r="Q92" s="25">
        <v>101</v>
      </c>
      <c r="R92" s="25">
        <v>592.73</v>
      </c>
      <c r="S92" s="25">
        <v>240.2</v>
      </c>
      <c r="T92" s="25">
        <v>241.16</v>
      </c>
    </row>
    <row r="93" spans="1:19" s="25" customFormat="1" ht="12.75">
      <c r="A93" s="22"/>
      <c r="B93" s="22"/>
      <c r="C93" s="22"/>
      <c r="D93" s="22"/>
      <c r="E93" s="22" t="s">
        <v>86</v>
      </c>
      <c r="F93" s="18"/>
      <c r="G93" s="18"/>
      <c r="H93" s="23">
        <f t="shared" si="28"/>
        <v>706.01</v>
      </c>
      <c r="I93" s="49"/>
      <c r="J93" s="49"/>
      <c r="K93" s="49"/>
      <c r="L93" s="49"/>
      <c r="M93" s="49">
        <f>29.75+45.63</f>
        <v>75.38</v>
      </c>
      <c r="N93" s="25">
        <v>585</v>
      </c>
      <c r="P93" s="25">
        <v>0</v>
      </c>
      <c r="S93" s="25">
        <v>45.63</v>
      </c>
    </row>
    <row r="94" spans="1:20" s="25" customFormat="1" ht="12.75">
      <c r="A94" s="22"/>
      <c r="B94" s="22"/>
      <c r="C94" s="22"/>
      <c r="D94" s="22"/>
      <c r="E94" s="26" t="s">
        <v>107</v>
      </c>
      <c r="F94" s="18"/>
      <c r="G94" s="18"/>
      <c r="H94" s="23">
        <f t="shared" si="28"/>
        <v>5372.44</v>
      </c>
      <c r="I94" s="49">
        <v>296.01</v>
      </c>
      <c r="J94" s="49">
        <v>297.28</v>
      </c>
      <c r="K94" s="49"/>
      <c r="L94" s="49">
        <f>299.84+233.63</f>
        <v>533.47</v>
      </c>
      <c r="M94" s="49">
        <f>234.57+301.13</f>
        <v>535.7</v>
      </c>
      <c r="N94" s="25">
        <f>235.49+302.42</f>
        <v>537.9100000000001</v>
      </c>
      <c r="O94" s="25">
        <v>236.42</v>
      </c>
      <c r="P94" s="25">
        <v>237.37</v>
      </c>
      <c r="Q94" s="25">
        <f>327.76+290.98</f>
        <v>618.74</v>
      </c>
      <c r="R94" s="25">
        <v>691.43</v>
      </c>
      <c r="S94" s="25">
        <v>691.43</v>
      </c>
      <c r="T94" s="25">
        <f>597.17+99.51</f>
        <v>696.68</v>
      </c>
    </row>
    <row r="95" spans="1:20" s="25" customFormat="1" ht="12.75">
      <c r="A95" s="22"/>
      <c r="B95" s="22"/>
      <c r="C95" s="22"/>
      <c r="D95" s="22"/>
      <c r="E95" s="26" t="s">
        <v>87</v>
      </c>
      <c r="F95" s="18"/>
      <c r="G95" s="18"/>
      <c r="H95" s="23">
        <f t="shared" si="28"/>
        <v>7684.47</v>
      </c>
      <c r="I95" s="49">
        <v>611.12</v>
      </c>
      <c r="J95" s="49">
        <v>671.85</v>
      </c>
      <c r="K95" s="49">
        <f>548.09+75.18</f>
        <v>623.27</v>
      </c>
      <c r="L95" s="49">
        <f>188.94+693.1</f>
        <v>882.04</v>
      </c>
      <c r="M95" s="49">
        <v>161.47</v>
      </c>
      <c r="N95" s="25">
        <v>733.07</v>
      </c>
      <c r="O95" s="25">
        <v>993.77</v>
      </c>
      <c r="P95" s="25">
        <v>0</v>
      </c>
      <c r="Q95" s="25">
        <v>1009.5</v>
      </c>
      <c r="R95" s="25">
        <v>715.32</v>
      </c>
      <c r="S95" s="25">
        <v>550.01</v>
      </c>
      <c r="T95" s="25">
        <v>733.05</v>
      </c>
    </row>
    <row r="96" spans="1:20" s="25" customFormat="1" ht="12.75">
      <c r="A96" s="22"/>
      <c r="B96" s="22"/>
      <c r="C96" s="22"/>
      <c r="D96" s="22"/>
      <c r="E96" s="26" t="s">
        <v>88</v>
      </c>
      <c r="F96" s="18"/>
      <c r="G96" s="18"/>
      <c r="H96" s="23">
        <f t="shared" si="28"/>
        <v>820.81</v>
      </c>
      <c r="I96" s="49"/>
      <c r="J96" s="49"/>
      <c r="K96" s="49">
        <v>158.52</v>
      </c>
      <c r="L96" s="49">
        <v>39.29</v>
      </c>
      <c r="M96" s="49">
        <v>139.57</v>
      </c>
      <c r="N96" s="25">
        <v>49.43</v>
      </c>
      <c r="O96" s="25">
        <v>0</v>
      </c>
      <c r="Q96" s="25">
        <v>340.96</v>
      </c>
      <c r="R96" s="25">
        <v>39</v>
      </c>
      <c r="S96" s="25">
        <v>30.79</v>
      </c>
      <c r="T96" s="25">
        <v>23.25</v>
      </c>
    </row>
    <row r="97" spans="5:20" ht="12.75">
      <c r="E97" s="26" t="s">
        <v>140</v>
      </c>
      <c r="I97" s="44">
        <v>23.15</v>
      </c>
      <c r="J97" s="44">
        <f>22.38+19.23</f>
        <v>41.61</v>
      </c>
      <c r="K97" s="44">
        <f>21.62+18.07</f>
        <v>39.69</v>
      </c>
      <c r="L97" s="44">
        <f>35.74+16.9</f>
        <v>52.64</v>
      </c>
      <c r="M97" s="49">
        <f>34.82+15.73</f>
        <v>50.55</v>
      </c>
      <c r="N97" s="25">
        <v>48.44</v>
      </c>
      <c r="O97" s="25">
        <v>32.98</v>
      </c>
      <c r="P97" s="25">
        <v>32.02</v>
      </c>
      <c r="Q97" s="25">
        <f>31.69+27.24</f>
        <v>58.93</v>
      </c>
      <c r="R97" s="25">
        <f>30.14+98.7</f>
        <v>128.84</v>
      </c>
      <c r="S97" s="25">
        <v>24.69</v>
      </c>
      <c r="T97" s="25">
        <v>29.79</v>
      </c>
    </row>
    <row r="98" spans="5:13" ht="12.75">
      <c r="E98" s="26" t="s">
        <v>145</v>
      </c>
      <c r="I98" s="44"/>
      <c r="M98" s="49"/>
    </row>
    <row r="99" ht="12.75">
      <c r="I99" s="44"/>
    </row>
    <row r="100" spans="5:20" ht="12.75">
      <c r="E100" s="28" t="s">
        <v>146</v>
      </c>
      <c r="F100" s="96">
        <v>0</v>
      </c>
      <c r="G100" s="96">
        <v>200884.72</v>
      </c>
      <c r="H100" s="97">
        <f>SUM(I100:T100)</f>
        <v>237748.09000000003</v>
      </c>
      <c r="I100" s="98">
        <v>19344.65</v>
      </c>
      <c r="J100" s="98">
        <v>19413.25</v>
      </c>
      <c r="K100" s="98">
        <v>19967.51</v>
      </c>
      <c r="L100" s="98">
        <v>19548.9</v>
      </c>
      <c r="M100" s="98">
        <v>19775.49</v>
      </c>
      <c r="N100" s="99">
        <v>19686.11</v>
      </c>
      <c r="O100" s="99">
        <v>19908.27</v>
      </c>
      <c r="P100" s="100">
        <v>19824.87</v>
      </c>
      <c r="Q100" s="100">
        <v>19893.48</v>
      </c>
      <c r="R100" s="100">
        <v>20108.95</v>
      </c>
      <c r="S100" s="100">
        <v>20032.25</v>
      </c>
      <c r="T100" s="100">
        <v>20244.36</v>
      </c>
    </row>
    <row r="101" spans="5:20" ht="12.75">
      <c r="E101" s="28" t="s">
        <v>258</v>
      </c>
      <c r="F101" s="101">
        <v>1356.07</v>
      </c>
      <c r="G101" s="101">
        <v>63451.67</v>
      </c>
      <c r="H101" s="97">
        <f>SUM(I101:T101)</f>
        <v>43846.95</v>
      </c>
      <c r="I101" s="98">
        <v>4091.3</v>
      </c>
      <c r="J101" s="98">
        <v>4038.29</v>
      </c>
      <c r="K101" s="98">
        <v>3440.47</v>
      </c>
      <c r="L101" s="98">
        <v>3756.07</v>
      </c>
      <c r="M101" s="98">
        <v>3585.12</v>
      </c>
      <c r="N101" s="99">
        <v>3653.17</v>
      </c>
      <c r="O101" s="99">
        <v>3485.53</v>
      </c>
      <c r="P101" s="100">
        <v>3548.7</v>
      </c>
      <c r="Q101" s="100">
        <v>3703.06</v>
      </c>
      <c r="R101" s="100">
        <v>3530.79</v>
      </c>
      <c r="S101" s="100">
        <v>3592.36</v>
      </c>
      <c r="T101" s="100">
        <v>3422.09</v>
      </c>
    </row>
    <row r="102" ht="12.75">
      <c r="I102" s="44"/>
    </row>
    <row r="103" ht="12.75">
      <c r="I103" s="44"/>
    </row>
    <row r="104" ht="12.75">
      <c r="I104" s="44"/>
    </row>
    <row r="105" ht="12.75">
      <c r="I105" s="44"/>
    </row>
    <row r="106" ht="12.75">
      <c r="I106" s="44"/>
    </row>
    <row r="107" ht="12.75">
      <c r="I107" s="44"/>
    </row>
    <row r="108" ht="12.75">
      <c r="I108" s="44"/>
    </row>
    <row r="109" ht="12.75">
      <c r="I109" s="44"/>
    </row>
    <row r="110" ht="12.75">
      <c r="I110" s="44"/>
    </row>
    <row r="111" ht="12.75">
      <c r="I111" s="44"/>
    </row>
    <row r="112" ht="12.75">
      <c r="I112" s="44"/>
    </row>
    <row r="113" ht="12.75">
      <c r="I113" s="44"/>
    </row>
    <row r="114" ht="12.75">
      <c r="I114" s="44"/>
    </row>
    <row r="115" ht="12.75">
      <c r="I115" s="44"/>
    </row>
    <row r="116" ht="12.75">
      <c r="I116" s="44"/>
    </row>
    <row r="117" ht="12.75">
      <c r="I117" s="44"/>
    </row>
    <row r="118" ht="12.75">
      <c r="I118" s="44"/>
    </row>
    <row r="119" ht="12.75">
      <c r="I119" s="44"/>
    </row>
    <row r="120" ht="12.75">
      <c r="I120" s="44"/>
    </row>
    <row r="121" ht="12.75">
      <c r="I121" s="44"/>
    </row>
    <row r="122" ht="12.75">
      <c r="I122" s="44"/>
    </row>
    <row r="123" ht="12.75">
      <c r="I123" s="44"/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  <row r="142" ht="12.75">
      <c r="I142" s="44"/>
    </row>
    <row r="143" ht="12.75">
      <c r="I143" s="44"/>
    </row>
    <row r="144" ht="12.75">
      <c r="I144" s="44"/>
    </row>
    <row r="145" ht="12.75">
      <c r="I145" s="44"/>
    </row>
    <row r="146" ht="12.75">
      <c r="I146" s="44"/>
    </row>
    <row r="147" ht="12.75">
      <c r="I147" s="44"/>
    </row>
    <row r="148" ht="12.75">
      <c r="I148" s="44"/>
    </row>
    <row r="149" ht="12.75">
      <c r="I149" s="44"/>
    </row>
    <row r="150" ht="12.75">
      <c r="I150" s="44"/>
    </row>
    <row r="151" ht="12.75">
      <c r="I151" s="44"/>
    </row>
    <row r="152" ht="12.75">
      <c r="I152" s="44"/>
    </row>
    <row r="153" ht="12.75">
      <c r="I153" s="44"/>
    </row>
    <row r="154" ht="12.75">
      <c r="I154" s="44"/>
    </row>
    <row r="155" ht="12.75">
      <c r="I155" s="44"/>
    </row>
    <row r="156" ht="12.75">
      <c r="I156" s="44"/>
    </row>
    <row r="157" ht="12.75">
      <c r="I157" s="44"/>
    </row>
    <row r="158" ht="12.75">
      <c r="I158" s="44"/>
    </row>
    <row r="159" ht="12.75">
      <c r="I159" s="44"/>
    </row>
    <row r="160" ht="12.75">
      <c r="I160" s="44"/>
    </row>
    <row r="161" ht="12.75">
      <c r="I161" s="44"/>
    </row>
    <row r="162" ht="12.75">
      <c r="I162" s="44"/>
    </row>
    <row r="163" ht="12.75">
      <c r="I163" s="44"/>
    </row>
    <row r="164" ht="12.75">
      <c r="I164" s="44"/>
    </row>
    <row r="165" ht="12.75">
      <c r="I165" s="44"/>
    </row>
    <row r="166" ht="12.75">
      <c r="I166" s="44"/>
    </row>
    <row r="167" ht="12.75">
      <c r="I167" s="44"/>
    </row>
  </sheetData>
  <sheetProtection/>
  <mergeCells count="3">
    <mergeCell ref="F62:F64"/>
    <mergeCell ref="G62:G64"/>
    <mergeCell ref="G65:G68"/>
  </mergeCells>
  <printOptions/>
  <pageMargins left="0.75" right="0.75" top="1" bottom="1" header="0.5" footer="0.5"/>
  <pageSetup fitToHeight="2" horizontalDpi="600" verticalDpi="600" orientation="landscape" paperSize="9" scale="56" r:id="rId1"/>
  <headerFooter alignWithMargins="0">
    <oddHeader>&amp;C&amp;F  &amp;D&amp;RKolga heitvesi &amp;A 
</oddHeader>
    <oddFooter>&amp;C&amp;F  &amp;D&amp;RKolga heitvesi teg ala nr  &amp;A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</dc:creator>
  <cp:keywords/>
  <dc:description/>
  <cp:lastModifiedBy>Enno Tammemäe</cp:lastModifiedBy>
  <cp:lastPrinted>2011-01-28T10:59:16Z</cp:lastPrinted>
  <dcterms:created xsi:type="dcterms:W3CDTF">2010-06-21T08:29:05Z</dcterms:created>
  <dcterms:modified xsi:type="dcterms:W3CDTF">2011-03-08T14:15:26Z</dcterms:modified>
  <cp:category/>
  <cp:version/>
  <cp:contentType/>
  <cp:contentStatus/>
</cp:coreProperties>
</file>